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updateLinks="never" hidePivotFieldList="1" defaultThemeVersion="124226"/>
  <mc:AlternateContent xmlns:mc="http://schemas.openxmlformats.org/markup-compatibility/2006">
    <mc:Choice Requires="x15">
      <x15ac:absPath xmlns:x15ac="http://schemas.microsoft.com/office/spreadsheetml/2010/11/ac" url="Z:\BUDGET!!!\"/>
    </mc:Choice>
  </mc:AlternateContent>
  <xr:revisionPtr revIDLastSave="0" documentId="8_{229EBD4D-9F2A-4DE4-8F86-F132DA744D31}" xr6:coauthVersionLast="47" xr6:coauthVersionMax="47" xr10:uidLastSave="{00000000-0000-0000-0000-000000000000}"/>
  <bookViews>
    <workbookView xWindow="2100" yWindow="0" windowWidth="26070" windowHeight="14160" tabRatio="945" activeTab="14" xr2:uid="{00000000-000D-0000-FFFF-FFFF00000000}"/>
  </bookViews>
  <sheets>
    <sheet name="CALENDAR" sheetId="49" r:id="rId1"/>
    <sheet name="AGENDA" sheetId="50" r:id="rId2"/>
    <sheet name="MINUTES 2023" sheetId="51" r:id="rId3"/>
    <sheet name="MESSAGE" sheetId="45" r:id="rId4"/>
    <sheet name="GENERAL FUND" sheetId="42" r:id="rId5"/>
    <sheet name="RESERVE FUND" sheetId="43" r:id="rId6"/>
    <sheet name="SPECIAL FUND" sheetId="44" r:id="rId7"/>
    <sheet name="YE Projections" sheetId="1" r:id="rId8"/>
    <sheet name="Revenue" sheetId="9" r:id="rId9"/>
    <sheet name="Interest" sheetId="40" r:id="rId10"/>
    <sheet name="Tax revenue" sheetId="4" r:id="rId11"/>
    <sheet name="Tax table 4a" sheetId="36" r:id="rId12"/>
    <sheet name="6010-6493" sheetId="7" r:id="rId13"/>
    <sheet name="7010-7180" sheetId="14" r:id="rId14"/>
    <sheet name="Personnel" sheetId="3" r:id="rId15"/>
  </sheets>
  <externalReferences>
    <externalReference r:id="rId16"/>
    <externalReference r:id="rId17"/>
  </externalReferences>
  <definedNames>
    <definedName name="Last_Row" localSheetId="9">IF([1]!Values_Entered,[1]!Header_Row+'[1]Tony House'!Number_of_Payments,'[1]Tony House'!Header_Row)</definedName>
    <definedName name="_xlnm.Print_Titles" localSheetId="7">'YE Projections'!$A:$B,'YE Projections'!$91:$93</definedName>
    <definedName name="QB_COLUMN_12100" localSheetId="7" hidden="1">'YE Projections'!$C$2</definedName>
    <definedName name="QB_COLUMN_42100" localSheetId="7" hidden="1">'YE Projections'!#REF!</definedName>
    <definedName name="QB_COLUMN_423010" localSheetId="7" hidden="1">'YE Projections'!#REF!</definedName>
    <definedName name="QB_COLUMN_452110" localSheetId="7" hidden="1">'YE Projections'!#REF!</definedName>
    <definedName name="QB_COLUMN_59201" localSheetId="7" hidden="1">'YE Projections'!$C$3</definedName>
    <definedName name="QB_COLUMN_592011" localSheetId="7" hidden="1">'YE Projections'!#REF!</definedName>
    <definedName name="QB_COLUMN_59204" localSheetId="7" hidden="1">'YE Projections'!#REF!</definedName>
    <definedName name="QB_COLUMN_59300" localSheetId="7" hidden="1">'YE Projections'!#REF!</definedName>
    <definedName name="QB_COLUMN_63620" localSheetId="7" hidden="1">'YE Projections'!#REF!</definedName>
    <definedName name="QB_COLUMN_63621" localSheetId="7" hidden="1">'YE Projections'!#REF!</definedName>
    <definedName name="QB_COLUMN_636211" localSheetId="7" hidden="1">'YE Projections'!#REF!</definedName>
    <definedName name="QB_COLUMN_63624" localSheetId="7" hidden="1">'YE Projections'!#REF!</definedName>
    <definedName name="QB_COLUMN_64430" localSheetId="7" hidden="1">'YE Projections'!#REF!</definedName>
    <definedName name="QB_COLUMN_64431" localSheetId="7" hidden="1">'YE Projections'!#REF!</definedName>
    <definedName name="QB_COLUMN_644311" localSheetId="7" hidden="1">'YE Projections'!#REF!</definedName>
    <definedName name="QB_COLUMN_64434" localSheetId="7" hidden="1">'YE Projections'!#REF!</definedName>
    <definedName name="QB_COLUMN_76211" localSheetId="7" hidden="1">'YE Projections'!$G$3</definedName>
    <definedName name="QB_COLUMN_762111" localSheetId="7" hidden="1">'YE Projections'!#REF!</definedName>
    <definedName name="QB_COLUMN_76214" localSheetId="7" hidden="1">'YE Projections'!#REF!</definedName>
    <definedName name="QB_COLUMN_76310" localSheetId="7" hidden="1">'YE Projections'!#REF!</definedName>
    <definedName name="QB_DATA_0" localSheetId="7" hidden="1">'YE Projections'!$5:$5,'YE Projections'!#REF!,'YE Projections'!$6:$6,'YE Projections'!$7:$7,'YE Projections'!$8:$8,'YE Projections'!$9:$9,'YE Projections'!$10:$10,'YE Projections'!$11:$11,'YE Projections'!$12:$12,'YE Projections'!$13:$13,'YE Projections'!#REF!,'YE Projections'!$14:$14,'YE Projections'!$15:$15,'YE Projections'!$16:$16,'YE Projections'!#REF!,'YE Projections'!$17:$17</definedName>
    <definedName name="QB_DATA_1" localSheetId="7" hidden="1">'YE Projections'!$18:$18,'YE Projections'!$22:$22,'YE Projections'!$23:$23,'YE Projections'!$27:$27,'YE Projections'!$28:$28,'YE Projections'!$31:$31,'YE Projections'!$32:$32,'YE Projections'!$33:$33,'YE Projections'!$34:$34,'YE Projections'!$35:$35,'YE Projections'!$36:$36,'YE Projections'!$37:$37,'YE Projections'!#REF!,'YE Projections'!#REF!,'YE Projections'!#REF!,'YE Projections'!$38:$38</definedName>
    <definedName name="QB_DATA_2" localSheetId="7" hidden="1">'YE Projections'!$39:$39,'YE Projections'!$40:$40,'YE Projections'!$41:$41,'YE Projections'!$42:$42,'YE Projections'!$43:$43,'YE Projections'!$44:$44,'YE Projections'!$45:$45,'YE Projections'!$46:$46,'YE Projections'!$47:$47,'YE Projections'!$48:$48,'YE Projections'!$49:$49,'YE Projections'!$50:$50,'YE Projections'!$51:$51,'YE Projections'!$52:$52,'YE Projections'!$53:$53,'YE Projections'!#REF!</definedName>
    <definedName name="QB_DATA_3" localSheetId="7" hidden="1">'YE Projections'!$54:$54,'YE Projections'!$55:$55,'YE Projections'!$56:$56,'YE Projections'!$57:$57,'YE Projections'!$58:$58,'YE Projections'!$59:$59,'YE Projections'!$60:$60,'YE Projections'!$61:$61,'YE Projections'!$62:$62,'YE Projections'!$63:$63,'YE Projections'!$64:$64,'YE Projections'!$65:$65,'YE Projections'!$66:$66,'YE Projections'!$67:$67,'YE Projections'!$68:$68,'YE Projections'!$69:$69</definedName>
    <definedName name="QB_DATA_4" localSheetId="7" hidden="1">'YE Projections'!$70:$70,'YE Projections'!$71:$71,'YE Projections'!$72:$72,'YE Projections'!#REF!,'YE Projections'!#REF!,'YE Projections'!#REF!,'YE Projections'!#REF!,'YE Projections'!$73:$73,'YE Projections'!#REF!,'YE Projections'!#REF!,'YE Projections'!$74:$74,'YE Projections'!$75:$75,'YE Projections'!$76:$76,'YE Projections'!$77:$77,'YE Projections'!$78:$78,'YE Projections'!$79:$79</definedName>
    <definedName name="QB_DATA_5" localSheetId="7" hidden="1">'YE Projections'!$80:$80,'YE Projections'!$81:$81,'YE Projections'!$82:$82,'YE Projections'!$83:$83,'YE Projections'!#REF!,'YE Projections'!#REF!,'YE Projections'!#REF!,'YE Projections'!#REF!,'YE Projections'!#REF!,'YE Projections'!$86:$86,'YE Projections'!$87:$87</definedName>
    <definedName name="QB_FORMULA_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1" localSheetId="7" hidden="1">'YE Projections'!#REF!,'YE Projections'!#REF!,'YE Projections'!#REF!,'YE Projections'!#REF!,'YE Projections'!#REF!,'YE Projections'!#REF!,'YE Projections'!#REF!,'YE Projections'!#REF!,'YE Projections'!#REF!,'YE Projections'!#REF!,'YE Projections'!#REF!,'YE Projections'!#REF!,'YE Projections'!#REF!,'YE Projections'!#REF!,'YE Projections'!$C$29,'YE Projections'!$G$29</definedName>
    <definedName name="QB_FORMULA_12"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3"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5"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6"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7"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8"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19"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1"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2"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3"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5"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6"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7"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8"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29"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1"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2"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3"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5"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6"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7"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8"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39"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1"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2"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3"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5"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6"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7"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8"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49"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5"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50"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51"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52" localSheetId="7" hidden="1">'YE Projections'!#REF!,'YE Projections'!#REF!,'YE Projections'!#REF!,'YE Projections'!#REF!,'YE Projections'!#REF!,'YE Projections'!#REF!,'YE Projections'!#REF!,'YE Projections'!$C$84,'YE Projections'!$G$84,'YE Projections'!#REF!,'YE Projections'!#REF!,'YE Projections'!#REF!,'YE Projections'!#REF!,'YE Projections'!#REF!,'YE Projections'!#REF!,'YE Projections'!#REF!</definedName>
    <definedName name="QB_FORMULA_53" localSheetId="7" hidden="1">'YE Projections'!#REF!,'YE Projections'!#REF!,'YE Projections'!#REF!,'YE Projections'!#REF!,'YE Projections'!#REF!,'YE Projections'!#REF!,'YE Projections'!#REF!,'YE Projections'!$C$85,'YE Projections'!$G$85,'YE Projections'!#REF!,'YE Projections'!#REF!,'YE Projections'!#REF!,'YE Projections'!#REF!,'YE Projections'!#REF!,'YE Projections'!#REF!,'YE Projections'!#REF!</definedName>
    <definedName name="QB_FORMULA_54"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55" localSheetId="7" hidden="1">'YE Projections'!#REF!,'YE Projections'!#REF!,'YE Projections'!#REF!,'YE Projections'!#REF!,'YE Projections'!#REF!,'YE Projections'!#REF!,'YE Projections'!#REF!,'YE Projections'!$C$88,'YE Projections'!$G$88,'YE Projections'!#REF!,'YE Projections'!#REF!,'YE Projections'!#REF!,'YE Projections'!#REF!,'YE Projections'!#REF!,'YE Projections'!#REF!,'YE Projections'!#REF!</definedName>
    <definedName name="QB_FORMULA_56" localSheetId="7" hidden="1">'YE Projections'!#REF!,'YE Projections'!#REF!,'YE Projections'!#REF!,'YE Projections'!#REF!,'YE Projections'!$C$89,'YE Projections'!$G$89,'YE Projections'!#REF!,'YE Projections'!#REF!,'YE Projections'!#REF!,'YE Projections'!#REF!,'YE Projections'!#REF!,'YE Projections'!#REF!,'YE Projections'!#REF!,'YE Projections'!#REF!,'YE Projections'!#REF!,'YE Projections'!#REF!</definedName>
    <definedName name="QB_FORMULA_57" localSheetId="7" hidden="1">'YE Projections'!#REF!,'YE Projections'!#REF!,'YE Projections'!#REF!,'YE Projections'!#REF!,'YE Projections'!$C$90,'YE Projections'!$G$90,'YE Projections'!#REF!,'YE Projections'!#REF!,'YE Projections'!#REF!,'YE Projections'!#REF!,'YE Projections'!#REF!,'YE Projections'!#REF!,'YE Projections'!#REF!,'YE Projections'!#REF!,'YE Projections'!#REF!,'YE Projections'!#REF!</definedName>
    <definedName name="QB_FORMULA_58" localSheetId="7" hidden="1">'YE Projections'!#REF!,'YE Projections'!#REF!,'YE Projections'!#REF!,'YE Projections'!#REF!</definedName>
    <definedName name="QB_FORMULA_6"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7"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FORMULA_8" localSheetId="7" hidden="1">'YE Projections'!#REF!,'YE Projections'!#REF!,'YE Projections'!#REF!,'YE Projections'!#REF!,'YE Projections'!#REF!,'YE Projections'!#REF!,'YE Projections'!#REF!,'YE Projections'!#REF!,'YE Projections'!#REF!,'YE Projections'!#REF!,'YE Projections'!#REF!,'YE Projections'!#REF!,'YE Projections'!#REF!,'YE Projections'!#REF!,'YE Projections'!$C$19,'YE Projections'!$G$19</definedName>
    <definedName name="QB_FORMULA_9" localSheetId="7" hidden="1">'YE Projections'!#REF!,'YE Projections'!#REF!,'YE Projections'!#REF!,'YE Projections'!#REF!,'YE Projections'!#REF!,'YE Projections'!#REF!,'YE Projections'!#REF!,'YE Projections'!#REF!,'YE Projections'!#REF!,'YE Projections'!#REF!,'YE Projections'!#REF!,'YE Projections'!#REF!,'YE Projections'!#REF!,'YE Projections'!#REF!,'YE Projections'!#REF!,'YE Projections'!#REF!</definedName>
    <definedName name="QB_ROW_100240" localSheetId="7" hidden="1">'YE Projections'!$A$32</definedName>
    <definedName name="QB_ROW_101040" localSheetId="7" hidden="1">'YE Projections'!#REF!</definedName>
    <definedName name="QB_ROW_101250" localSheetId="7" hidden="1">'YE Projections'!#REF!</definedName>
    <definedName name="QB_ROW_101340" localSheetId="7" hidden="1">'YE Projections'!#REF!</definedName>
    <definedName name="QB_ROW_102250" localSheetId="7" hidden="1">'YE Projections'!$A$33</definedName>
    <definedName name="QB_ROW_103250" localSheetId="7" hidden="1">'YE Projections'!$A$34</definedName>
    <definedName name="QB_ROW_104250" localSheetId="7" hidden="1">'YE Projections'!$A$35</definedName>
    <definedName name="QB_ROW_105250" localSheetId="7" hidden="1">'YE Projections'!$A$36</definedName>
    <definedName name="QB_ROW_106250" localSheetId="7" hidden="1">'YE Projections'!$A$37</definedName>
    <definedName name="QB_ROW_107240" localSheetId="7" hidden="1">'YE Projections'!#REF!</definedName>
    <definedName name="QB_ROW_108240" localSheetId="7" hidden="1">'YE Projections'!$A$39</definedName>
    <definedName name="QB_ROW_109240" localSheetId="7" hidden="1">'YE Projections'!$A$40</definedName>
    <definedName name="QB_ROW_110240" localSheetId="7" hidden="1">'YE Projections'!$A$41</definedName>
    <definedName name="QB_ROW_111240" localSheetId="7" hidden="1">'YE Projections'!$A$42</definedName>
    <definedName name="QB_ROW_112240" localSheetId="7" hidden="1">'YE Projections'!$A$43</definedName>
    <definedName name="QB_ROW_113240" localSheetId="7" hidden="1">'YE Projections'!$A$44</definedName>
    <definedName name="QB_ROW_114240" localSheetId="7" hidden="1">'YE Projections'!$A$45</definedName>
    <definedName name="QB_ROW_115240" localSheetId="7" hidden="1">'YE Projections'!$A$46</definedName>
    <definedName name="QB_ROW_116240" localSheetId="7" hidden="1">'YE Projections'!$A$47</definedName>
    <definedName name="QB_ROW_117240" localSheetId="7" hidden="1">'YE Projections'!$A$48</definedName>
    <definedName name="QB_ROW_118240" localSheetId="7" hidden="1">'YE Projections'!$A$49</definedName>
    <definedName name="QB_ROW_119240" localSheetId="7" hidden="1">'YE Projections'!$A$50</definedName>
    <definedName name="QB_ROW_120240" localSheetId="7" hidden="1">'YE Projections'!$A$52</definedName>
    <definedName name="QB_ROW_121240" localSheetId="7" hidden="1">'YE Projections'!$A$53</definedName>
    <definedName name="QB_ROW_122240" localSheetId="7" hidden="1">'YE Projections'!#REF!</definedName>
    <definedName name="QB_ROW_123240" localSheetId="7" hidden="1">'YE Projections'!$A$54</definedName>
    <definedName name="QB_ROW_124240" localSheetId="7" hidden="1">'YE Projections'!$A$55</definedName>
    <definedName name="QB_ROW_125240" localSheetId="7" hidden="1">'YE Projections'!$A$56</definedName>
    <definedName name="QB_ROW_126240" localSheetId="7" hidden="1">'YE Projections'!$A$57</definedName>
    <definedName name="QB_ROW_127240" localSheetId="7" hidden="1">'YE Projections'!$A$58</definedName>
    <definedName name="QB_ROW_128240" localSheetId="7" hidden="1">'YE Projections'!$A$59</definedName>
    <definedName name="QB_ROW_129240" localSheetId="7" hidden="1">'YE Projections'!$A$60</definedName>
    <definedName name="QB_ROW_131250" localSheetId="7" hidden="1">'YE Projections'!$A$61</definedName>
    <definedName name="QB_ROW_132240" localSheetId="7" hidden="1">'YE Projections'!$A$63</definedName>
    <definedName name="QB_ROW_133240" localSheetId="7" hidden="1">'YE Projections'!$A$64</definedName>
    <definedName name="QB_ROW_134240" localSheetId="7" hidden="1">'YE Projections'!$A$65</definedName>
    <definedName name="QB_ROW_135240" localSheetId="7" hidden="1">'YE Projections'!$A$66</definedName>
    <definedName name="QB_ROW_136240" localSheetId="7" hidden="1">'YE Projections'!$A$67</definedName>
    <definedName name="QB_ROW_137240" localSheetId="7" hidden="1">'YE Projections'!$A$68</definedName>
    <definedName name="QB_ROW_138240" localSheetId="7" hidden="1">'YE Projections'!$A$69</definedName>
    <definedName name="QB_ROW_140240" localSheetId="7" hidden="1">'YE Projections'!$A$70</definedName>
    <definedName name="QB_ROW_141040" localSheetId="7" hidden="1">'YE Projections'!#REF!</definedName>
    <definedName name="QB_ROW_141340" localSheetId="7" hidden="1">'YE Projections'!#REF!</definedName>
    <definedName name="QB_ROW_142250" localSheetId="7" hidden="1">'YE Projections'!$A$71</definedName>
    <definedName name="QB_ROW_143250" localSheetId="7" hidden="1">'YE Projections'!$A$72</definedName>
    <definedName name="QB_ROW_144040" localSheetId="7" hidden="1">'YE Projections'!#REF!</definedName>
    <definedName name="QB_ROW_144340" localSheetId="7" hidden="1">'YE Projections'!#REF!</definedName>
    <definedName name="QB_ROW_145250" localSheetId="7" hidden="1">'YE Projections'!#REF!</definedName>
    <definedName name="QB_ROW_146250" localSheetId="7" hidden="1">'YE Projections'!#REF!</definedName>
    <definedName name="QB_ROW_147250" localSheetId="7" hidden="1">'YE Projections'!#REF!</definedName>
    <definedName name="QB_ROW_148250" localSheetId="7" hidden="1">'YE Projections'!#REF!</definedName>
    <definedName name="QB_ROW_149250" localSheetId="7" hidden="1">'YE Projections'!$A$73</definedName>
    <definedName name="QB_ROW_150250" localSheetId="7" hidden="1">'YE Projections'!#REF!</definedName>
    <definedName name="QB_ROW_151250" localSheetId="7" hidden="1">'YE Projections'!#REF!</definedName>
    <definedName name="QB_ROW_152240" localSheetId="7" hidden="1">'YE Projections'!$A$74</definedName>
    <definedName name="QB_ROW_153240" localSheetId="7" hidden="1">'YE Projections'!$A$75</definedName>
    <definedName name="QB_ROW_155240" localSheetId="7" hidden="1">'YE Projections'!$A$76</definedName>
    <definedName name="QB_ROW_156240" localSheetId="7" hidden="1">'YE Projections'!$A$77</definedName>
    <definedName name="QB_ROW_157240" localSheetId="7" hidden="1">'YE Projections'!$A$78</definedName>
    <definedName name="QB_ROW_158240" localSheetId="7" hidden="1">'YE Projections'!$A$79</definedName>
    <definedName name="QB_ROW_159040" localSheetId="7" hidden="1">'YE Projections'!#REF!</definedName>
    <definedName name="QB_ROW_159340" localSheetId="7" hidden="1">'YE Projections'!#REF!</definedName>
    <definedName name="QB_ROW_160250" localSheetId="7" hidden="1">'YE Projections'!$A$80</definedName>
    <definedName name="QB_ROW_161250" localSheetId="7" hidden="1">'YE Projections'!$A$81</definedName>
    <definedName name="QB_ROW_162250" localSheetId="7" hidden="1">'YE Projections'!$A$82</definedName>
    <definedName name="QB_ROW_165030" localSheetId="7" hidden="1">'YE Projections'!#REF!</definedName>
    <definedName name="QB_ROW_165330" localSheetId="7" hidden="1">'YE Projections'!#REF!</definedName>
    <definedName name="QB_ROW_166240" localSheetId="7" hidden="1">'YE Projections'!#REF!</definedName>
    <definedName name="QB_ROW_167240" localSheetId="7" hidden="1">'YE Projections'!#REF!</definedName>
    <definedName name="QB_ROW_168240" localSheetId="7" hidden="1">'YE Projections'!#REF!</definedName>
    <definedName name="QB_ROW_169240" localSheetId="7" hidden="1">'YE Projections'!#REF!</definedName>
    <definedName name="QB_ROW_170230" localSheetId="7" hidden="1">'YE Projections'!#REF!</definedName>
    <definedName name="QB_ROW_171230" localSheetId="7" hidden="1">'YE Projections'!$B$88</definedName>
    <definedName name="QB_ROW_18301" localSheetId="7" hidden="1">'YE Projections'!#REF!</definedName>
    <definedName name="QB_ROW_19011" localSheetId="7" hidden="1">'YE Projections'!$B$4</definedName>
    <definedName name="QB_ROW_19311" localSheetId="7" hidden="1">'YE Projections'!#REF!</definedName>
    <definedName name="QB_ROW_20021" localSheetId="7" hidden="1">'YE Projections'!#REF!</definedName>
    <definedName name="QB_ROW_20321" localSheetId="7" hidden="1">'YE Projections'!$A$19</definedName>
    <definedName name="QB_ROW_21021" localSheetId="7" hidden="1">'YE Projections'!$B$20</definedName>
    <definedName name="QB_ROW_21321" localSheetId="7" hidden="1">'YE Projections'!#REF!</definedName>
    <definedName name="QB_ROW_22011" localSheetId="7" hidden="1">'YE Projections'!#REF!</definedName>
    <definedName name="QB_ROW_22311" localSheetId="7" hidden="1">'YE Projections'!#REF!</definedName>
    <definedName name="QB_ROW_24021" localSheetId="7" hidden="1">'YE Projections'!#REF!</definedName>
    <definedName name="QB_ROW_24321" localSheetId="7" hidden="1">'YE Projections'!#REF!</definedName>
    <definedName name="QB_ROW_371240" localSheetId="7" hidden="1">'YE Projections'!#REF!</definedName>
    <definedName name="QB_ROW_372230" localSheetId="7" hidden="1">'YE Projections'!$A$13</definedName>
    <definedName name="QB_ROW_376240" localSheetId="7" hidden="1">'YE Projections'!$A$38</definedName>
    <definedName name="QB_ROW_377240" localSheetId="7" hidden="1">'YE Projections'!$A$28</definedName>
    <definedName name="QB_ROW_378250" localSheetId="7" hidden="1">'YE Projections'!#REF!</definedName>
    <definedName name="QB_ROW_381240" localSheetId="7" hidden="1">'YE Projections'!$A$51</definedName>
    <definedName name="QB_ROW_382250" localSheetId="7" hidden="1">'YE Projections'!$A$62</definedName>
    <definedName name="QB_ROW_383040" localSheetId="7" hidden="1">'YE Projections'!#REF!</definedName>
    <definedName name="QB_ROW_383340" localSheetId="7" hidden="1">'YE Projections'!#REF!</definedName>
    <definedName name="QB_ROW_78230" localSheetId="7" hidden="1">'YE Projections'!$A$5</definedName>
    <definedName name="QB_ROW_79230" localSheetId="7" hidden="1">'YE Projections'!#REF!</definedName>
    <definedName name="QB_ROW_80230" localSheetId="7" hidden="1">'YE Projections'!$A$6</definedName>
    <definedName name="QB_ROW_81230" localSheetId="7" hidden="1">'YE Projections'!$A$7</definedName>
    <definedName name="QB_ROW_82230" localSheetId="7" hidden="1">'YE Projections'!$A$8</definedName>
    <definedName name="QB_ROW_83230" localSheetId="7" hidden="1">'YE Projections'!$A$9</definedName>
    <definedName name="QB_ROW_84230" localSheetId="7" hidden="1">'YE Projections'!$A$10</definedName>
    <definedName name="QB_ROW_85230" localSheetId="7" hidden="1">'YE Projections'!$A$11</definedName>
    <definedName name="QB_ROW_86230" localSheetId="7" hidden="1">'YE Projections'!$A$12</definedName>
    <definedName name="QB_ROW_87230" localSheetId="7" hidden="1">'YE Projections'!#REF!</definedName>
    <definedName name="QB_ROW_88230" localSheetId="7" hidden="1">'YE Projections'!$A$14</definedName>
    <definedName name="QB_ROW_89230" localSheetId="7" hidden="1">'YE Projections'!$A$15</definedName>
    <definedName name="QB_ROW_90230" localSheetId="7" hidden="1">'YE Projections'!$A$16</definedName>
    <definedName name="QB_ROW_91230" localSheetId="7" hidden="1">'YE Projections'!#REF!</definedName>
    <definedName name="QB_ROW_92230" localSheetId="7" hidden="1">'YE Projections'!$A$17</definedName>
    <definedName name="QB_ROW_93230" localSheetId="7" hidden="1">'YE Projections'!$A$18</definedName>
    <definedName name="QB_ROW_94030" localSheetId="7" hidden="1">'YE Projections'!$A$21</definedName>
    <definedName name="QB_ROW_94330" localSheetId="7" hidden="1">'YE Projections'!$B$29</definedName>
    <definedName name="QB_ROW_95240" localSheetId="7" hidden="1">'YE Projections'!$A$22</definedName>
    <definedName name="QB_ROW_96240" localSheetId="7" hidden="1">'YE Projections'!$A$23</definedName>
    <definedName name="QB_ROW_97240" localSheetId="7" hidden="1">'YE Projections'!$A$27</definedName>
    <definedName name="QB_ROW_98030" localSheetId="7" hidden="1">'YE Projections'!$A$30</definedName>
    <definedName name="QB_ROW_98240" localSheetId="7" hidden="1">'YE Projections'!$A$83</definedName>
    <definedName name="QB_ROW_98330" localSheetId="7" hidden="1">'YE Projections'!#REF!</definedName>
    <definedName name="QB_ROW_99240" localSheetId="7" hidden="1">'YE Projections'!$A$31</definedName>
    <definedName name="QBCANSUPPORTUPDATE" localSheetId="7">TRUE</definedName>
    <definedName name="QBCOMPANYFILENAME" localSheetId="7">"C:\Users\jmoore\Documents\Quickbooks\Fern Ridge Library District 2015.QBW"</definedName>
    <definedName name="QBENDDATE" localSheetId="7">20190331</definedName>
    <definedName name="QBHEADERSONSCREEN" localSheetId="7">FALSE</definedName>
    <definedName name="QBMETADATASIZE" localSheetId="7">5892</definedName>
    <definedName name="QBPRESERVECOLOR" localSheetId="7">TRUE</definedName>
    <definedName name="QBPRESERVEFONT" localSheetId="7">TRUE</definedName>
    <definedName name="QBPRESERVEROWHEIGHT" localSheetId="7">TRUE</definedName>
    <definedName name="QBPRESERVESPACE" localSheetId="7">TRUE</definedName>
    <definedName name="QBREPORTCOLAXIS" localSheetId="7">19</definedName>
    <definedName name="QBREPORTCOMPANYID" localSheetId="7">"847e67e612f14644a7c9fc075a495b35"</definedName>
    <definedName name="QBREPORTCOMPARECOL_ANNUALBUDGET" localSheetId="7">FALSE</definedName>
    <definedName name="QBREPORTCOMPARECOL_AVGCOGS" localSheetId="7">FALSE</definedName>
    <definedName name="QBREPORTCOMPARECOL_AVGPRICE" localSheetId="7">FALSE</definedName>
    <definedName name="QBREPORTCOMPARECOL_BUDDIFF" localSheetId="7">TRUE</definedName>
    <definedName name="QBREPORTCOMPARECOL_BUDGET" localSheetId="7">TRUE</definedName>
    <definedName name="QBREPORTCOMPARECOL_BUDPCT" localSheetId="7">TRUE</definedName>
    <definedName name="QBREPORTCOMPARECOL_COGS" localSheetId="7">FALSE</definedName>
    <definedName name="QBREPORTCOMPARECOL_EXCLUDEAMOUNT" localSheetId="7">FALSE</definedName>
    <definedName name="QBREPORTCOMPARECOL_EXCLUDECURPERIOD" localSheetId="7">FALSE</definedName>
    <definedName name="QBREPORTCOMPARECOL_FORECAST" localSheetId="7">FALSE</definedName>
    <definedName name="QBREPORTCOMPARECOL_GROSSMARGIN" localSheetId="7">FALSE</definedName>
    <definedName name="QBREPORTCOMPARECOL_GROSSMARGINPCT" localSheetId="7">FALSE</definedName>
    <definedName name="QBREPORTCOMPARECOL_HOURS" localSheetId="7">FALSE</definedName>
    <definedName name="QBREPORTCOMPARECOL_PCTCOL" localSheetId="7">FALSE</definedName>
    <definedName name="QBREPORTCOMPARECOL_PCTEXPENSE" localSheetId="7">FALSE</definedName>
    <definedName name="QBREPORTCOMPARECOL_PCTINCOME" localSheetId="7">FALSE</definedName>
    <definedName name="QBREPORTCOMPARECOL_PCTOFSALES" localSheetId="7">FALSE</definedName>
    <definedName name="QBREPORTCOMPARECOL_PCTROW" localSheetId="7">FALSE</definedName>
    <definedName name="QBREPORTCOMPARECOL_PPDIFF" localSheetId="7">FALSE</definedName>
    <definedName name="QBREPORTCOMPARECOL_PPPCT" localSheetId="7">FALSE</definedName>
    <definedName name="QBREPORTCOMPARECOL_PREVPERIOD" localSheetId="7">FALSE</definedName>
    <definedName name="QBREPORTCOMPARECOL_PREVYEAR" localSheetId="7">FALSE</definedName>
    <definedName name="QBREPORTCOMPARECOL_PYDIFF" localSheetId="7">FALSE</definedName>
    <definedName name="QBREPORTCOMPARECOL_PYPCT" localSheetId="7">FALSE</definedName>
    <definedName name="QBREPORTCOMPARECOL_QTY" localSheetId="7">FALSE</definedName>
    <definedName name="QBREPORTCOMPARECOL_RATE" localSheetId="7">FALSE</definedName>
    <definedName name="QBREPORTCOMPARECOL_TRIPBILLEDMILES" localSheetId="7">FALSE</definedName>
    <definedName name="QBREPORTCOMPARECOL_TRIPBILLINGAMOUNT" localSheetId="7">FALSE</definedName>
    <definedName name="QBREPORTCOMPARECOL_TRIPMILES" localSheetId="7">FALSE</definedName>
    <definedName name="QBREPORTCOMPARECOL_TRIPNOTBILLABLEMILES" localSheetId="7">FALSE</definedName>
    <definedName name="QBREPORTCOMPARECOL_TRIPTAXDEDUCTIBLEAMOUNT" localSheetId="7">FALSE</definedName>
    <definedName name="QBREPORTCOMPARECOL_TRIPUNBILLEDMILES" localSheetId="7">FALSE</definedName>
    <definedName name="QBREPORTCOMPARECOL_YTD" localSheetId="7">FALSE</definedName>
    <definedName name="QBREPORTCOMPARECOL_YTDBUDGET" localSheetId="7">FALSE</definedName>
    <definedName name="QBREPORTCOMPARECOL_YTDPCT" localSheetId="7">FALSE</definedName>
    <definedName name="QBREPORTROWAXIS" localSheetId="7">11</definedName>
    <definedName name="QBREPORTSUBCOLAXIS" localSheetId="7">24</definedName>
    <definedName name="QBREPORTTYPE" localSheetId="7">288</definedName>
    <definedName name="QBROWHEADERS" localSheetId="7">6</definedName>
    <definedName name="QBSTARTDATE" localSheetId="7">20180701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40" l="1"/>
  <c r="I79" i="40"/>
  <c r="B79" i="40"/>
  <c r="L75" i="40"/>
  <c r="B426" i="7"/>
  <c r="C63" i="1"/>
  <c r="C62" i="1"/>
  <c r="B413" i="7"/>
  <c r="B502" i="7"/>
  <c r="B44" i="7"/>
  <c r="B30" i="7"/>
  <c r="B487" i="7"/>
  <c r="B643" i="7"/>
  <c r="B518" i="7"/>
  <c r="C70" i="1"/>
  <c r="E43" i="3"/>
  <c r="E44" i="3"/>
  <c r="E45" i="3"/>
  <c r="E42" i="3"/>
  <c r="C26" i="1"/>
  <c r="B168" i="7" l="1"/>
  <c r="C43" i="1"/>
  <c r="B33" i="9"/>
  <c r="D517" i="7"/>
  <c r="D84" i="7"/>
  <c r="C75" i="1"/>
  <c r="B476" i="7"/>
  <c r="B400" i="7"/>
  <c r="C72" i="1" l="1"/>
  <c r="B550" i="7"/>
  <c r="D190" i="7"/>
  <c r="D189" i="7"/>
  <c r="D187" i="7"/>
  <c r="D188" i="7"/>
  <c r="D589" i="7"/>
  <c r="C76" i="1"/>
  <c r="B427" i="7"/>
  <c r="B562" i="7"/>
  <c r="B586" i="7"/>
  <c r="B391" i="7"/>
  <c r="B393" i="7"/>
  <c r="B73" i="7"/>
  <c r="B61" i="7"/>
  <c r="C77" i="1"/>
  <c r="B604" i="7"/>
  <c r="B564" i="7"/>
  <c r="B475" i="7"/>
  <c r="B210" i="7"/>
  <c r="B72" i="7"/>
  <c r="B43" i="7"/>
  <c r="B60" i="7"/>
  <c r="B14" i="7"/>
  <c r="G22" i="43"/>
  <c r="F22" i="43"/>
  <c r="M65" i="3" l="1"/>
  <c r="M64" i="3"/>
  <c r="B396" i="7"/>
  <c r="D246" i="7"/>
  <c r="D265" i="7"/>
  <c r="D655" i="7"/>
  <c r="B578" i="7"/>
  <c r="B540" i="7"/>
  <c r="D479" i="7"/>
  <c r="D477" i="7"/>
  <c r="L20" i="3"/>
  <c r="C56" i="1" l="1"/>
  <c r="B320" i="7"/>
  <c r="B121" i="7"/>
  <c r="B554" i="7"/>
  <c r="L511" i="7"/>
  <c r="P14" i="40"/>
  <c r="I14" i="40"/>
  <c r="N13" i="40"/>
  <c r="B18" i="3" l="1"/>
  <c r="C18" i="3" s="1"/>
  <c r="B17" i="3"/>
  <c r="G17" i="3" s="1"/>
  <c r="I16" i="3"/>
  <c r="H16" i="3"/>
  <c r="G16" i="3"/>
  <c r="F16" i="3"/>
  <c r="D16" i="3"/>
  <c r="C16" i="3"/>
  <c r="B16" i="3"/>
  <c r="I15" i="3"/>
  <c r="H15" i="3"/>
  <c r="G15" i="3"/>
  <c r="F15" i="3"/>
  <c r="D15" i="3"/>
  <c r="C15" i="3"/>
  <c r="B15" i="3"/>
  <c r="H17" i="3" l="1"/>
  <c r="C17" i="3"/>
  <c r="I17" i="3"/>
  <c r="D17" i="3"/>
  <c r="F17" i="3"/>
  <c r="G18" i="3"/>
  <c r="F18" i="3"/>
  <c r="I18" i="3"/>
  <c r="D18" i="3"/>
  <c r="H18" i="3"/>
  <c r="D176" i="7"/>
  <c r="B31" i="7"/>
  <c r="B28" i="7"/>
  <c r="B35" i="7"/>
  <c r="B211" i="7"/>
  <c r="B397" i="7"/>
  <c r="B414" i="7"/>
  <c r="B488" i="7"/>
  <c r="D488" i="7"/>
  <c r="A42" i="43"/>
  <c r="B42" i="43"/>
  <c r="D99" i="42"/>
  <c r="D100" i="42"/>
  <c r="E100" i="42"/>
  <c r="A100" i="42"/>
  <c r="E99" i="42"/>
  <c r="A99" i="42"/>
  <c r="A101" i="42" s="1"/>
  <c r="C97" i="42"/>
  <c r="D97" i="42"/>
  <c r="E97" i="42"/>
  <c r="A97" i="42"/>
  <c r="F90" i="42"/>
  <c r="I97" i="1"/>
  <c r="E14" i="43" s="1"/>
  <c r="D97" i="1"/>
  <c r="F97" i="1" s="1"/>
  <c r="H97" i="1" s="1"/>
  <c r="A103" i="42" l="1"/>
  <c r="J97" i="1"/>
  <c r="E97" i="1"/>
  <c r="B165" i="7"/>
  <c r="B318" i="7"/>
  <c r="B322" i="7" s="1"/>
  <c r="D536" i="7" l="1"/>
  <c r="E5" i="40" l="1"/>
  <c r="B51" i="7" l="1"/>
  <c r="B109" i="7"/>
  <c r="F28" i="1" l="1"/>
  <c r="A24" i="49" l="1"/>
  <c r="A18" i="49"/>
  <c r="B7" i="3" l="1"/>
  <c r="B86" i="3" l="1"/>
  <c r="K87" i="1" l="1"/>
  <c r="B51" i="3" l="1"/>
  <c r="H42" i="36" l="1"/>
  <c r="H43" i="36" s="1"/>
  <c r="H30" i="36"/>
  <c r="E33" i="43"/>
  <c r="E34" i="43"/>
  <c r="E32" i="43"/>
  <c r="C33" i="44" l="1"/>
  <c r="B33" i="44"/>
  <c r="B27" i="44"/>
  <c r="C16" i="44"/>
  <c r="C25" i="44" s="1"/>
  <c r="C27" i="44" s="1"/>
  <c r="B16" i="44"/>
  <c r="B31" i="44" s="1"/>
  <c r="E12" i="44"/>
  <c r="E4" i="44"/>
  <c r="F4" i="44" s="1"/>
  <c r="G4" i="44" s="1"/>
  <c r="C2" i="44"/>
  <c r="B92" i="42"/>
  <c r="B100" i="42" s="1"/>
  <c r="B88" i="42"/>
  <c r="B36" i="43"/>
  <c r="A36" i="43"/>
  <c r="I34" i="43"/>
  <c r="J34" i="43" s="1"/>
  <c r="I33" i="43"/>
  <c r="J33" i="43" s="1"/>
  <c r="I32" i="43"/>
  <c r="J32" i="43" s="1"/>
  <c r="B16" i="43"/>
  <c r="B40" i="43" s="1"/>
  <c r="A16" i="43"/>
  <c r="I5" i="43"/>
  <c r="J5" i="43" s="1"/>
  <c r="E4" i="43"/>
  <c r="F4" i="43" s="1"/>
  <c r="G4" i="43" s="1"/>
  <c r="C2" i="43"/>
  <c r="A18" i="42"/>
  <c r="B34" i="42"/>
  <c r="C93" i="42"/>
  <c r="C91" i="42"/>
  <c r="C99" i="42" s="1"/>
  <c r="J5" i="42"/>
  <c r="K5" i="42" s="1"/>
  <c r="G4" i="42"/>
  <c r="H4" i="42" s="1"/>
  <c r="A40" i="43" l="1"/>
  <c r="A43" i="43" s="1"/>
  <c r="A44" i="43" s="1"/>
  <c r="B91" i="42"/>
  <c r="B99" i="42" s="1"/>
  <c r="B101" i="42" s="1"/>
  <c r="J90" i="42"/>
  <c r="K90" i="42" s="1"/>
  <c r="B34" i="44"/>
  <c r="B35" i="44" s="1"/>
  <c r="C31" i="44"/>
  <c r="C34" i="44" s="1"/>
  <c r="B20" i="42"/>
  <c r="B25" i="42" s="1"/>
  <c r="B43" i="43"/>
  <c r="B44" i="43" s="1"/>
  <c r="C92" i="42"/>
  <c r="C100" i="42" s="1"/>
  <c r="C101" i="42" s="1"/>
  <c r="C103" i="42" s="1"/>
  <c r="B93" i="42" l="1"/>
  <c r="B97" i="42"/>
  <c r="B103" i="42" s="1"/>
  <c r="C35" i="44"/>
  <c r="D283" i="7" l="1"/>
  <c r="B356" i="7"/>
  <c r="B361" i="7" s="1"/>
  <c r="B373" i="7"/>
  <c r="B394" i="7"/>
  <c r="B525" i="7" l="1"/>
  <c r="C10" i="40" l="1"/>
  <c r="C9" i="40"/>
  <c r="E7" i="40"/>
  <c r="T5" i="40"/>
  <c r="N5" i="40" s="1"/>
  <c r="P6" i="40" l="1"/>
  <c r="T6" i="40" s="1"/>
  <c r="P7" i="40" l="1"/>
  <c r="T7" i="40" s="1"/>
  <c r="N6" i="40"/>
  <c r="P8" i="40" l="1"/>
  <c r="T8" i="40" s="1"/>
  <c r="N7" i="40"/>
  <c r="P9" i="40" l="1"/>
  <c r="T9" i="40" s="1"/>
  <c r="N8" i="40"/>
  <c r="P10" i="40" l="1"/>
  <c r="T10" i="40" s="1"/>
  <c r="N9" i="40"/>
  <c r="P11" i="40" l="1"/>
  <c r="T11" i="40" s="1"/>
  <c r="N10" i="40"/>
  <c r="P12" i="40" l="1"/>
  <c r="T12" i="40" s="1"/>
  <c r="N11" i="40"/>
  <c r="T14" i="40" l="1"/>
  <c r="P15" i="40" l="1"/>
  <c r="R15" i="40"/>
  <c r="T15" i="40" s="1"/>
  <c r="P16" i="40" s="1"/>
  <c r="R16" i="40" l="1"/>
  <c r="T16" i="40" s="1"/>
  <c r="P17" i="40" s="1"/>
  <c r="R17" i="40" l="1"/>
  <c r="T17" i="40" s="1"/>
  <c r="P18" i="40" s="1"/>
  <c r="R18" i="40" l="1"/>
  <c r="T18" i="40"/>
  <c r="P19" i="40" s="1"/>
  <c r="R19" i="40" l="1"/>
  <c r="T19" i="40"/>
  <c r="P20" i="40" s="1"/>
  <c r="R20" i="40" l="1"/>
  <c r="T20" i="40"/>
  <c r="P21" i="40" s="1"/>
  <c r="R21" i="40" l="1"/>
  <c r="T21" i="40" s="1"/>
  <c r="P22" i="40" s="1"/>
  <c r="R22" i="40" l="1"/>
  <c r="T22" i="40" s="1"/>
  <c r="P23" i="40" s="1"/>
  <c r="R23" i="40" l="1"/>
  <c r="T23" i="40" s="1"/>
  <c r="P24" i="40" s="1"/>
  <c r="R24" i="40" l="1"/>
  <c r="T24" i="40"/>
  <c r="P25" i="40" s="1"/>
  <c r="R25" i="40" l="1"/>
  <c r="T25" i="40"/>
  <c r="P26" i="40" s="1"/>
  <c r="R26" i="40" l="1"/>
  <c r="T26" i="40" s="1"/>
  <c r="P27" i="40" s="1"/>
  <c r="R27" i="40" l="1"/>
  <c r="T27" i="40"/>
  <c r="P28" i="40" s="1"/>
  <c r="R28" i="40" l="1"/>
  <c r="T28" i="40" s="1"/>
  <c r="P29" i="40" s="1"/>
  <c r="R29" i="40" l="1"/>
  <c r="T29" i="40" s="1"/>
  <c r="P30" i="40" s="1"/>
  <c r="R30" i="40" l="1"/>
  <c r="T30" i="40" s="1"/>
  <c r="P31" i="40" s="1"/>
  <c r="R31" i="40" l="1"/>
  <c r="T31" i="40" s="1"/>
  <c r="P32" i="40" s="1"/>
  <c r="R32" i="40" l="1"/>
  <c r="T32" i="40" s="1"/>
  <c r="P33" i="40" s="1"/>
  <c r="R33" i="40" l="1"/>
  <c r="T33" i="40"/>
  <c r="P34" i="40" s="1"/>
  <c r="R34" i="40" l="1"/>
  <c r="T34" i="40"/>
  <c r="P35" i="40" s="1"/>
  <c r="R35" i="40" l="1"/>
  <c r="T35" i="40"/>
  <c r="P36" i="40" s="1"/>
  <c r="R36" i="40" l="1"/>
  <c r="T36" i="40" s="1"/>
  <c r="P37" i="40" s="1"/>
  <c r="R37" i="40" l="1"/>
  <c r="T37" i="40" s="1"/>
  <c r="P38" i="40" s="1"/>
  <c r="R38" i="40" l="1"/>
  <c r="T38" i="40"/>
  <c r="P39" i="40" s="1"/>
  <c r="R39" i="40" l="1"/>
  <c r="T39" i="40" s="1"/>
  <c r="P40" i="40" s="1"/>
  <c r="R40" i="40" l="1"/>
  <c r="T40" i="40" s="1"/>
  <c r="P41" i="40" s="1"/>
  <c r="R41" i="40" l="1"/>
  <c r="T41" i="40" s="1"/>
  <c r="P42" i="40" s="1"/>
  <c r="R42" i="40" l="1"/>
  <c r="T42" i="40"/>
  <c r="P43" i="40" s="1"/>
  <c r="R43" i="40" l="1"/>
  <c r="T43" i="40" s="1"/>
  <c r="P44" i="40" s="1"/>
  <c r="R44" i="40" l="1"/>
  <c r="T44" i="40" s="1"/>
  <c r="P45" i="40" s="1"/>
  <c r="R45" i="40" l="1"/>
  <c r="T45" i="40" s="1"/>
  <c r="P46" i="40" s="1"/>
  <c r="R46" i="40" l="1"/>
  <c r="T46" i="40" s="1"/>
  <c r="P47" i="40" s="1"/>
  <c r="R47" i="40" l="1"/>
  <c r="T47" i="40" s="1"/>
  <c r="P48" i="40" s="1"/>
  <c r="R48" i="40" l="1"/>
  <c r="T48" i="40" s="1"/>
  <c r="P49" i="40" s="1"/>
  <c r="R49" i="40" l="1"/>
  <c r="T49" i="40" s="1"/>
  <c r="P50" i="40" s="1"/>
  <c r="R50" i="40" l="1"/>
  <c r="T50" i="40" s="1"/>
  <c r="P51" i="40" s="1"/>
  <c r="R51" i="40" l="1"/>
  <c r="T51" i="40"/>
  <c r="P52" i="40" s="1"/>
  <c r="R52" i="40" l="1"/>
  <c r="T52" i="40" s="1"/>
  <c r="P53" i="40" s="1"/>
  <c r="R53" i="40" l="1"/>
  <c r="T53" i="40" s="1"/>
  <c r="P54" i="40" s="1"/>
  <c r="R54" i="40" l="1"/>
  <c r="T54" i="40" s="1"/>
  <c r="P55" i="40" s="1"/>
  <c r="R55" i="40" l="1"/>
  <c r="T55" i="40" s="1"/>
  <c r="P56" i="40" s="1"/>
  <c r="R56" i="40" l="1"/>
  <c r="T56" i="40" s="1"/>
  <c r="P57" i="40" s="1"/>
  <c r="R57" i="40" l="1"/>
  <c r="T57" i="40" s="1"/>
  <c r="P58" i="40" s="1"/>
  <c r="R58" i="40" l="1"/>
  <c r="T58" i="40" s="1"/>
  <c r="P59" i="40" s="1"/>
  <c r="R59" i="40" l="1"/>
  <c r="T59" i="40" s="1"/>
  <c r="P60" i="40" s="1"/>
  <c r="R60" i="40" l="1"/>
  <c r="T60" i="40" s="1"/>
  <c r="P61" i="40" s="1"/>
  <c r="R61" i="40" l="1"/>
  <c r="T61" i="40" s="1"/>
  <c r="P62" i="40" s="1"/>
  <c r="R62" i="40" l="1"/>
  <c r="T62" i="40" s="1"/>
  <c r="P63" i="40" s="1"/>
  <c r="R63" i="40" l="1"/>
  <c r="T63" i="40" s="1"/>
  <c r="P64" i="40" s="1"/>
  <c r="R64" i="40" l="1"/>
  <c r="T64" i="40" s="1"/>
  <c r="P65" i="40" s="1"/>
  <c r="R65" i="40" l="1"/>
  <c r="T65" i="40" s="1"/>
  <c r="P66" i="40" s="1"/>
  <c r="R66" i="40" l="1"/>
  <c r="T66" i="40" s="1"/>
  <c r="P67" i="40" s="1"/>
  <c r="R67" i="40" l="1"/>
  <c r="T67" i="40" s="1"/>
  <c r="P68" i="40" s="1"/>
  <c r="R68" i="40" l="1"/>
  <c r="T68" i="40" s="1"/>
  <c r="P69" i="40" s="1"/>
  <c r="R69" i="40" l="1"/>
  <c r="T69" i="40" s="1"/>
  <c r="P70" i="40" s="1"/>
  <c r="R70" i="40" l="1"/>
  <c r="T70" i="40" s="1"/>
  <c r="P71" i="40" s="1"/>
  <c r="R71" i="40" l="1"/>
  <c r="T71" i="40" s="1"/>
  <c r="P72" i="40" s="1"/>
  <c r="R72" i="40" l="1"/>
  <c r="T72" i="40" s="1"/>
  <c r="P73" i="40" s="1"/>
  <c r="R73" i="40" l="1"/>
  <c r="T73" i="40"/>
  <c r="P74" i="40" s="1"/>
  <c r="R74" i="40" l="1"/>
  <c r="T74" i="40"/>
  <c r="P75" i="40" s="1"/>
  <c r="R75" i="40" l="1"/>
  <c r="T75" i="40"/>
  <c r="R76" i="40" l="1"/>
  <c r="F119" i="1" s="1"/>
  <c r="R79" i="40" l="1"/>
  <c r="T79" i="40" s="1"/>
  <c r="P80" i="40" s="1"/>
  <c r="R80" i="40" l="1"/>
  <c r="T80" i="40" l="1"/>
  <c r="P81" i="40" s="1"/>
  <c r="R81" i="40" s="1"/>
  <c r="T81" i="40" l="1"/>
  <c r="P82" i="40" s="1"/>
  <c r="R82" i="40" s="1"/>
  <c r="T82" i="40" s="1"/>
  <c r="P83" i="40" s="1"/>
  <c r="S83" i="40" s="1"/>
  <c r="R83" i="40" l="1"/>
  <c r="T83" i="40" s="1"/>
  <c r="P84" i="40" s="1"/>
  <c r="R84" i="40" l="1"/>
  <c r="T84" i="40"/>
  <c r="P85" i="40" s="1"/>
  <c r="R85" i="40" l="1"/>
  <c r="T85" i="40" s="1"/>
  <c r="P86" i="40" s="1"/>
  <c r="R86" i="40" l="1"/>
  <c r="T86" i="40" s="1"/>
  <c r="P87" i="40" s="1"/>
  <c r="R87" i="40" l="1"/>
  <c r="T87" i="40" s="1"/>
  <c r="P88" i="40" s="1"/>
  <c r="R88" i="40" l="1"/>
  <c r="T88" i="40"/>
  <c r="P89" i="40" s="1"/>
  <c r="R89" i="40" l="1"/>
  <c r="T89" i="40"/>
  <c r="P90" i="40" s="1"/>
  <c r="R90" i="40" l="1"/>
  <c r="T90" i="40" s="1"/>
  <c r="P91" i="40" s="1"/>
  <c r="R91" i="40" l="1"/>
  <c r="T91" i="40" s="1"/>
  <c r="P92" i="40" s="1"/>
  <c r="R92" i="40" l="1"/>
  <c r="T92" i="40" s="1"/>
  <c r="P93" i="40" s="1"/>
  <c r="R93" i="40" l="1"/>
  <c r="B21" i="9" l="1"/>
  <c r="B122" i="7" l="1"/>
  <c r="D257" i="7" l="1"/>
  <c r="D377" i="7"/>
  <c r="D376" i="7"/>
  <c r="D375" i="7"/>
  <c r="D374" i="7"/>
  <c r="D31" i="1"/>
  <c r="C58" i="1"/>
  <c r="B348" i="7"/>
  <c r="D345" i="7"/>
  <c r="B344" i="7"/>
  <c r="B7" i="7" l="1"/>
  <c r="H7" i="7" s="1"/>
  <c r="C31" i="1"/>
  <c r="B41" i="3" l="1"/>
  <c r="B588" i="7" l="1"/>
  <c r="B451" i="7"/>
  <c r="B401" i="7"/>
  <c r="B395" i="7"/>
  <c r="B376" i="7"/>
  <c r="B101" i="7"/>
  <c r="B59" i="7"/>
  <c r="B46" i="7"/>
  <c r="B15" i="7"/>
  <c r="B16" i="7"/>
  <c r="C29" i="1"/>
  <c r="B455" i="7" l="1"/>
  <c r="B452" i="7"/>
  <c r="B656" i="7"/>
  <c r="B503" i="7"/>
  <c r="B11" i="3" l="1"/>
  <c r="C13" i="3" l="1"/>
  <c r="B88" i="7"/>
  <c r="I307" i="7" l="1"/>
  <c r="I306" i="7"/>
  <c r="I305" i="7"/>
  <c r="I304" i="7"/>
  <c r="H328" i="7"/>
  <c r="I537" i="7"/>
  <c r="I536" i="7"/>
  <c r="I535" i="7"/>
  <c r="I534" i="7"/>
  <c r="D575" i="7"/>
  <c r="I645" i="7"/>
  <c r="I644" i="7"/>
  <c r="I643" i="7"/>
  <c r="I642" i="7"/>
  <c r="I669" i="7"/>
  <c r="I668" i="7"/>
  <c r="I667" i="7"/>
  <c r="I666" i="7"/>
  <c r="I656" i="7"/>
  <c r="I655" i="7"/>
  <c r="I654" i="7"/>
  <c r="I653" i="7"/>
  <c r="I623" i="7"/>
  <c r="I622" i="7"/>
  <c r="I621" i="7"/>
  <c r="I620" i="7"/>
  <c r="I602" i="7"/>
  <c r="I601" i="7"/>
  <c r="I600" i="7"/>
  <c r="I599" i="7"/>
  <c r="I587" i="7"/>
  <c r="I586" i="7"/>
  <c r="I585" i="7"/>
  <c r="I584" i="7"/>
  <c r="H546" i="7"/>
  <c r="I563" i="7"/>
  <c r="I562" i="7"/>
  <c r="I561" i="7"/>
  <c r="I560" i="7"/>
  <c r="I551" i="7"/>
  <c r="I550" i="7"/>
  <c r="I549" i="7"/>
  <c r="I548" i="7"/>
  <c r="I526" i="7"/>
  <c r="I525" i="7"/>
  <c r="I524" i="7"/>
  <c r="I523" i="7"/>
  <c r="I515" i="7"/>
  <c r="I514" i="7"/>
  <c r="I513" i="7"/>
  <c r="I512" i="7"/>
  <c r="I501" i="7"/>
  <c r="I500" i="7"/>
  <c r="I499" i="7"/>
  <c r="I498" i="7"/>
  <c r="I488" i="7"/>
  <c r="I487" i="7"/>
  <c r="I486" i="7"/>
  <c r="I485" i="7"/>
  <c r="I476" i="7"/>
  <c r="I475" i="7"/>
  <c r="I474" i="7"/>
  <c r="I473" i="7"/>
  <c r="I463" i="7"/>
  <c r="I462" i="7"/>
  <c r="I461" i="7"/>
  <c r="I460" i="7"/>
  <c r="I452" i="7"/>
  <c r="I451" i="7"/>
  <c r="I450" i="7"/>
  <c r="I449" i="7"/>
  <c r="I441" i="7"/>
  <c r="I440" i="7"/>
  <c r="I439" i="7"/>
  <c r="I438" i="7"/>
  <c r="I427" i="7"/>
  <c r="I426" i="7"/>
  <c r="I425" i="7"/>
  <c r="I424" i="7"/>
  <c r="I413" i="7"/>
  <c r="I412" i="7"/>
  <c r="I411" i="7"/>
  <c r="I410" i="7"/>
  <c r="I391" i="7"/>
  <c r="I390" i="7"/>
  <c r="I389" i="7"/>
  <c r="I388" i="7"/>
  <c r="I373" i="7"/>
  <c r="I370" i="7"/>
  <c r="I357" i="7"/>
  <c r="I356" i="7"/>
  <c r="I355" i="7"/>
  <c r="I354" i="7"/>
  <c r="I345" i="7"/>
  <c r="I344" i="7"/>
  <c r="I343" i="7"/>
  <c r="I342" i="7"/>
  <c r="I333" i="7"/>
  <c r="I332" i="7"/>
  <c r="I331" i="7"/>
  <c r="I330" i="7"/>
  <c r="I317" i="7"/>
  <c r="I316" i="7"/>
  <c r="I315" i="7"/>
  <c r="I314" i="7"/>
  <c r="I296" i="7"/>
  <c r="I295" i="7"/>
  <c r="I294" i="7"/>
  <c r="I293" i="7"/>
  <c r="I284" i="7"/>
  <c r="I283" i="7"/>
  <c r="I282" i="7"/>
  <c r="I281" i="7"/>
  <c r="I268" i="7"/>
  <c r="I267" i="7"/>
  <c r="I266" i="7"/>
  <c r="I265" i="7"/>
  <c r="I233" i="7"/>
  <c r="I234" i="7"/>
  <c r="I235" i="7"/>
  <c r="I236" i="7"/>
  <c r="I226" i="7"/>
  <c r="I225" i="7"/>
  <c r="I224" i="7"/>
  <c r="I223" i="7"/>
  <c r="I211" i="7"/>
  <c r="I210" i="7"/>
  <c r="I209" i="7"/>
  <c r="I208" i="7"/>
  <c r="I188" i="7"/>
  <c r="I187" i="7"/>
  <c r="I186" i="7"/>
  <c r="I185" i="7"/>
  <c r="I177" i="7"/>
  <c r="I176" i="7"/>
  <c r="I175" i="7"/>
  <c r="I174" i="7"/>
  <c r="I166" i="7"/>
  <c r="I165" i="7"/>
  <c r="I164" i="7"/>
  <c r="I163" i="7"/>
  <c r="I135" i="7"/>
  <c r="I134" i="7"/>
  <c r="I133" i="7"/>
  <c r="I132" i="7"/>
  <c r="I122" i="7"/>
  <c r="I121" i="7"/>
  <c r="I120" i="7"/>
  <c r="I119" i="7"/>
  <c r="I110" i="7"/>
  <c r="I109" i="7"/>
  <c r="I108" i="7"/>
  <c r="I107" i="7"/>
  <c r="I100" i="7"/>
  <c r="I99" i="7"/>
  <c r="I98" i="7"/>
  <c r="I97" i="7"/>
  <c r="I87" i="7"/>
  <c r="I86" i="7"/>
  <c r="I85" i="7"/>
  <c r="I84" i="7"/>
  <c r="I73" i="7"/>
  <c r="I72" i="7"/>
  <c r="I71" i="7"/>
  <c r="I70" i="7"/>
  <c r="I60" i="7"/>
  <c r="I59" i="7"/>
  <c r="I58" i="7"/>
  <c r="I57" i="7"/>
  <c r="I44" i="7"/>
  <c r="I43" i="7"/>
  <c r="I42" i="7"/>
  <c r="I41" i="7"/>
  <c r="I27" i="7"/>
  <c r="I28" i="7"/>
  <c r="I29" i="7"/>
  <c r="I26" i="7"/>
  <c r="B223" i="7"/>
  <c r="B306" i="7" l="1"/>
  <c r="B295" i="7"/>
  <c r="B257" i="7"/>
  <c r="H261" i="7" s="1"/>
  <c r="I261" i="7" s="1"/>
  <c r="B245" i="7"/>
  <c r="B235" i="7"/>
  <c r="B228" i="7"/>
  <c r="B199" i="7"/>
  <c r="B176" i="7"/>
  <c r="B155" i="7"/>
  <c r="H101" i="7"/>
  <c r="I101" i="7" s="1"/>
  <c r="B634" i="7"/>
  <c r="B575" i="7"/>
  <c r="B563" i="7"/>
  <c r="B440" i="7"/>
  <c r="B536" i="7"/>
  <c r="B267" i="7"/>
  <c r="D165" i="7"/>
  <c r="B212" i="7" l="1"/>
  <c r="B215" i="7" s="1"/>
  <c r="C83" i="1"/>
  <c r="B377" i="7" l="1"/>
  <c r="B379" i="7" s="1"/>
  <c r="B26" i="14" l="1"/>
  <c r="E103" i="1" s="1"/>
  <c r="B491" i="7" l="1"/>
  <c r="B492" i="7"/>
  <c r="B657" i="7" l="1"/>
  <c r="B86" i="7"/>
  <c r="B89" i="7" s="1"/>
  <c r="B668" i="7" l="1"/>
  <c r="B672" i="7" s="1"/>
  <c r="B477" i="7"/>
  <c r="F43" i="3"/>
  <c r="F44" i="3"/>
  <c r="F45" i="3"/>
  <c r="F42" i="3"/>
  <c r="B44" i="3" l="1"/>
  <c r="B45" i="3"/>
  <c r="B43" i="3"/>
  <c r="B42" i="3"/>
  <c r="B62" i="7"/>
  <c r="E2" i="3"/>
  <c r="F2" i="3"/>
  <c r="D30" i="3"/>
  <c r="H63" i="7" l="1"/>
  <c r="I63" i="7" s="1"/>
  <c r="A131" i="3" l="1"/>
  <c r="A97" i="3" s="1"/>
  <c r="V110" i="3"/>
  <c r="T110" i="3"/>
  <c r="C68" i="3"/>
  <c r="D68" i="3" s="1"/>
  <c r="E68" i="3" s="1"/>
  <c r="F68" i="3" s="1"/>
  <c r="G68" i="3" s="1"/>
  <c r="H68" i="3" s="1"/>
  <c r="I68" i="3" s="1"/>
  <c r="J68" i="3" s="1"/>
  <c r="K68" i="3" s="1"/>
  <c r="L68" i="3" s="1"/>
  <c r="M68" i="3" s="1"/>
  <c r="N68" i="3" s="1"/>
  <c r="O68" i="3" s="1"/>
  <c r="P68" i="3" s="1"/>
  <c r="C66" i="3"/>
  <c r="D66" i="3" s="1"/>
  <c r="E66" i="3" s="1"/>
  <c r="F66" i="3" s="1"/>
  <c r="G66" i="3" s="1"/>
  <c r="H66" i="3" s="1"/>
  <c r="I66" i="3" s="1"/>
  <c r="J66" i="3" s="1"/>
  <c r="K66" i="3" s="1"/>
  <c r="L66" i="3" s="1"/>
  <c r="M66" i="3" s="1"/>
  <c r="N66" i="3" s="1"/>
  <c r="O66" i="3" s="1"/>
  <c r="P66" i="3" s="1"/>
  <c r="C64" i="3"/>
  <c r="D64" i="3" s="1"/>
  <c r="E64" i="3" s="1"/>
  <c r="F64" i="3" s="1"/>
  <c r="G64" i="3" s="1"/>
  <c r="H64" i="3" s="1"/>
  <c r="I64" i="3" s="1"/>
  <c r="J64" i="3" s="1"/>
  <c r="K64" i="3" s="1"/>
  <c r="L64" i="3" s="1"/>
  <c r="C62" i="3"/>
  <c r="D62" i="3" s="1"/>
  <c r="E62" i="3" s="1"/>
  <c r="F62" i="3" s="1"/>
  <c r="G62" i="3" s="1"/>
  <c r="H62" i="3" s="1"/>
  <c r="I62" i="3" s="1"/>
  <c r="J62" i="3" s="1"/>
  <c r="K62" i="3" s="1"/>
  <c r="L62" i="3" s="1"/>
  <c r="M62" i="3" s="1"/>
  <c r="N62" i="3" s="1"/>
  <c r="O62" i="3" s="1"/>
  <c r="P62" i="3" s="1"/>
  <c r="C60" i="3"/>
  <c r="D60" i="3" s="1"/>
  <c r="E60" i="3" s="1"/>
  <c r="F60" i="3" s="1"/>
  <c r="G60" i="3" s="1"/>
  <c r="C58" i="3"/>
  <c r="D58" i="3" s="1"/>
  <c r="E58" i="3" s="1"/>
  <c r="F58" i="3" s="1"/>
  <c r="G58" i="3" s="1"/>
  <c r="H58" i="3" s="1"/>
  <c r="C56" i="3"/>
  <c r="D56" i="3" s="1"/>
  <c r="E56" i="3" s="1"/>
  <c r="C54" i="3"/>
  <c r="D54" i="3" s="1"/>
  <c r="E54" i="3" s="1"/>
  <c r="F54" i="3" s="1"/>
  <c r="G54" i="3" s="1"/>
  <c r="H54" i="3" s="1"/>
  <c r="I54" i="3" s="1"/>
  <c r="J54" i="3" s="1"/>
  <c r="K54" i="3" s="1"/>
  <c r="L54" i="3" s="1"/>
  <c r="M54" i="3" s="1"/>
  <c r="N54" i="3" s="1"/>
  <c r="O54" i="3" s="1"/>
  <c r="P54" i="3" s="1"/>
  <c r="C52" i="3"/>
  <c r="D52" i="3" s="1"/>
  <c r="E52" i="3" s="1"/>
  <c r="D46" i="3"/>
  <c r="C46" i="3"/>
  <c r="B46" i="3"/>
  <c r="F25" i="1"/>
  <c r="F24" i="1"/>
  <c r="F23" i="1"/>
  <c r="I23" i="3"/>
  <c r="B23" i="3"/>
  <c r="I19" i="3"/>
  <c r="H19" i="3"/>
  <c r="G19" i="3"/>
  <c r="D19" i="3"/>
  <c r="B14" i="3"/>
  <c r="J13" i="3"/>
  <c r="I13" i="3"/>
  <c r="H13" i="3"/>
  <c r="G13" i="3"/>
  <c r="D13" i="3"/>
  <c r="B13" i="3"/>
  <c r="B12" i="3"/>
  <c r="B10" i="3"/>
  <c r="I7" i="3"/>
  <c r="C6" i="3"/>
  <c r="F13" i="3"/>
  <c r="E13" i="3"/>
  <c r="K13" i="3" l="1"/>
  <c r="L2" i="3"/>
  <c r="E34" i="3" s="1"/>
  <c r="L15" i="3"/>
  <c r="L16" i="3"/>
  <c r="L19" i="3"/>
  <c r="L18" i="3"/>
  <c r="L17" i="3"/>
  <c r="I10" i="3"/>
  <c r="I11" i="3"/>
  <c r="N64" i="3"/>
  <c r="O64" i="3" s="1"/>
  <c r="P64" i="3" s="1"/>
  <c r="C5" i="3"/>
  <c r="C23" i="3" s="1"/>
  <c r="H60" i="3"/>
  <c r="I60" i="3" s="1"/>
  <c r="J60" i="3" s="1"/>
  <c r="K60" i="3" s="1"/>
  <c r="L60" i="3" s="1"/>
  <c r="M60" i="3" s="1"/>
  <c r="N60" i="3" s="1"/>
  <c r="O60" i="3" s="1"/>
  <c r="P60" i="3" s="1"/>
  <c r="H5" i="3"/>
  <c r="F56" i="3"/>
  <c r="G56" i="3" s="1"/>
  <c r="H56" i="3" s="1"/>
  <c r="I56" i="3" s="1"/>
  <c r="J56" i="3" s="1"/>
  <c r="K56" i="3" s="1"/>
  <c r="L56" i="3" s="1"/>
  <c r="M56" i="3" s="1"/>
  <c r="N56" i="3" s="1"/>
  <c r="O56" i="3" s="1"/>
  <c r="P56" i="3" s="1"/>
  <c r="D5" i="3"/>
  <c r="F52" i="3"/>
  <c r="G52" i="3" s="1"/>
  <c r="J5" i="3"/>
  <c r="I58" i="3"/>
  <c r="J58" i="3" s="1"/>
  <c r="K58" i="3" s="1"/>
  <c r="L58" i="3" s="1"/>
  <c r="M58" i="3" s="1"/>
  <c r="N58" i="3" s="1"/>
  <c r="O58" i="3" s="1"/>
  <c r="P58" i="3" s="1"/>
  <c r="G5" i="3"/>
  <c r="L13" i="3"/>
  <c r="I14" i="3"/>
  <c r="I12" i="3"/>
  <c r="C32" i="3" l="1"/>
  <c r="D32" i="3" s="1"/>
  <c r="C29" i="3"/>
  <c r="D29" i="3" s="1"/>
  <c r="C7" i="3"/>
  <c r="C14" i="3" s="1"/>
  <c r="H52" i="3"/>
  <c r="I52" i="3" s="1"/>
  <c r="J52" i="3" s="1"/>
  <c r="K52" i="3" s="1"/>
  <c r="L52" i="3" s="1"/>
  <c r="M52" i="3" s="1"/>
  <c r="N52" i="3" s="1"/>
  <c r="O52" i="3" s="1"/>
  <c r="P52" i="3" s="1"/>
  <c r="E5" i="3"/>
  <c r="J23" i="3"/>
  <c r="J7" i="3"/>
  <c r="J11" i="3" s="1"/>
  <c r="H23" i="3"/>
  <c r="H7" i="3"/>
  <c r="H11" i="3" s="1"/>
  <c r="G7" i="3"/>
  <c r="G11" i="3" s="1"/>
  <c r="G23" i="3"/>
  <c r="D23" i="3"/>
  <c r="D7" i="3"/>
  <c r="D11" i="3" s="1"/>
  <c r="C11" i="3" l="1"/>
  <c r="C12" i="3"/>
  <c r="C10" i="3"/>
  <c r="I24" i="1"/>
  <c r="K24" i="1" s="1"/>
  <c r="F5" i="3"/>
  <c r="F23" i="3" s="1"/>
  <c r="E23" i="3"/>
  <c r="E7" i="3"/>
  <c r="H12" i="3"/>
  <c r="H14" i="3"/>
  <c r="H10" i="3"/>
  <c r="G14" i="3"/>
  <c r="G10" i="3"/>
  <c r="G12" i="3"/>
  <c r="D12" i="3"/>
  <c r="D14" i="3"/>
  <c r="D10" i="3"/>
  <c r="J14" i="3"/>
  <c r="J10" i="3"/>
  <c r="J12" i="3"/>
  <c r="C5" i="40"/>
  <c r="D98" i="1"/>
  <c r="F7" i="3" l="1"/>
  <c r="F11" i="3" s="1"/>
  <c r="E10" i="3"/>
  <c r="E14" i="3"/>
  <c r="E12" i="3"/>
  <c r="E11" i="3"/>
  <c r="L11" i="3" l="1"/>
  <c r="F10" i="3"/>
  <c r="L10" i="3" s="1"/>
  <c r="M11" i="3" s="1"/>
  <c r="F12" i="3"/>
  <c r="L12" i="3" s="1"/>
  <c r="F14" i="3"/>
  <c r="C31" i="3" l="1"/>
  <c r="D31" i="3" s="1"/>
  <c r="B504" i="7"/>
  <c r="H453" i="7"/>
  <c r="H504" i="7" l="1"/>
  <c r="I504" i="7" s="1"/>
  <c r="B666" i="7"/>
  <c r="B653" i="7"/>
  <c r="B641" i="7"/>
  <c r="B632" i="7"/>
  <c r="B620" i="7" l="1"/>
  <c r="B611" i="7"/>
  <c r="B599" i="7"/>
  <c r="B584" i="7"/>
  <c r="B573" i="7"/>
  <c r="B560" i="7"/>
  <c r="B498" i="7"/>
  <c r="B506" i="7" s="1"/>
  <c r="B485" i="7"/>
  <c r="B473" i="7"/>
  <c r="B460" i="7"/>
  <c r="B449" i="7"/>
  <c r="B438" i="7"/>
  <c r="B424" i="7"/>
  <c r="B410" i="7"/>
  <c r="B388" i="7"/>
  <c r="D122" i="1"/>
  <c r="C120" i="1"/>
  <c r="D118" i="1"/>
  <c r="F118" i="1"/>
  <c r="H118" i="1" s="1"/>
  <c r="D119" i="1"/>
  <c r="H119" i="1"/>
  <c r="H123" i="1"/>
  <c r="G120" i="1"/>
  <c r="G98" i="1"/>
  <c r="H120" i="1" l="1"/>
  <c r="D123" i="1"/>
  <c r="F123" i="1"/>
  <c r="G123" i="1"/>
  <c r="G125" i="1" s="1"/>
  <c r="C123" i="1"/>
  <c r="C125" i="1" s="1"/>
  <c r="F115" i="1"/>
  <c r="G115" i="1"/>
  <c r="H115" i="1"/>
  <c r="I115" i="1"/>
  <c r="C115" i="1"/>
  <c r="F120" i="1"/>
  <c r="D120" i="1"/>
  <c r="F125" i="1" l="1"/>
  <c r="B37" i="14"/>
  <c r="F10" i="1"/>
  <c r="D613" i="7" l="1"/>
  <c r="D611" i="7" s="1"/>
  <c r="I117" i="1"/>
  <c r="E11" i="44" s="1"/>
  <c r="B534" i="7"/>
  <c r="B523" i="7"/>
  <c r="B512" i="7"/>
  <c r="B615" i="7"/>
  <c r="A675" i="7"/>
  <c r="A661" i="7"/>
  <c r="A648" i="7"/>
  <c r="A636" i="7"/>
  <c r="A627" i="7"/>
  <c r="A615" i="7"/>
  <c r="A606" i="7"/>
  <c r="A594" i="7"/>
  <c r="A579" i="7"/>
  <c r="A568" i="7"/>
  <c r="A555" i="7"/>
  <c r="A541" i="7"/>
  <c r="A529" i="7"/>
  <c r="A518" i="7"/>
  <c r="A507" i="7"/>
  <c r="A493" i="7"/>
  <c r="A480" i="7"/>
  <c r="A468" i="7"/>
  <c r="A455" i="7"/>
  <c r="A444" i="7"/>
  <c r="A433" i="7"/>
  <c r="A419" i="7"/>
  <c r="A405" i="7"/>
  <c r="A383" i="7"/>
  <c r="A365" i="7"/>
  <c r="A349" i="7"/>
  <c r="A337" i="7"/>
  <c r="A325" i="7"/>
  <c r="A309" i="7"/>
  <c r="A299" i="7"/>
  <c r="A288" i="7"/>
  <c r="A276" i="7"/>
  <c r="A260" i="7"/>
  <c r="A250" i="7"/>
  <c r="A238" i="7"/>
  <c r="A228" i="7"/>
  <c r="A218" i="7"/>
  <c r="A203" i="7"/>
  <c r="A191" i="7"/>
  <c r="A180" i="7"/>
  <c r="A169" i="7"/>
  <c r="A158" i="7"/>
  <c r="A148" i="7"/>
  <c r="A127" i="7"/>
  <c r="A114" i="7"/>
  <c r="A101" i="7"/>
  <c r="A91" i="7"/>
  <c r="A79" i="7"/>
  <c r="A65" i="7"/>
  <c r="A36" i="7"/>
  <c r="A21" i="7"/>
  <c r="A7" i="7"/>
  <c r="B546" i="7"/>
  <c r="C584" i="7"/>
  <c r="C573" i="7"/>
  <c r="C560" i="7"/>
  <c r="C611" i="7" s="1"/>
  <c r="C546" i="7"/>
  <c r="C534" i="7"/>
  <c r="C523" i="7"/>
  <c r="C512" i="7"/>
  <c r="C498" i="7"/>
  <c r="C485" i="7"/>
  <c r="C473" i="7"/>
  <c r="C460" i="7"/>
  <c r="C449" i="7"/>
  <c r="C438" i="7"/>
  <c r="C424" i="7"/>
  <c r="C410" i="7"/>
  <c r="A666" i="7"/>
  <c r="A653" i="7"/>
  <c r="A641" i="7"/>
  <c r="A632" i="7"/>
  <c r="A620" i="7"/>
  <c r="A611" i="7"/>
  <c r="A599" i="7"/>
  <c r="A584" i="7"/>
  <c r="A573" i="7"/>
  <c r="A560" i="7"/>
  <c r="A546" i="7"/>
  <c r="A534" i="7"/>
  <c r="A523" i="7"/>
  <c r="A512" i="7"/>
  <c r="A498" i="7"/>
  <c r="A485" i="7"/>
  <c r="A473" i="7"/>
  <c r="A460" i="7"/>
  <c r="A449" i="7"/>
  <c r="A438" i="7"/>
  <c r="A424" i="7"/>
  <c r="A410" i="7"/>
  <c r="C388" i="7"/>
  <c r="A388" i="7"/>
  <c r="H670" i="7"/>
  <c r="H657" i="7"/>
  <c r="H646" i="7"/>
  <c r="H636" i="7"/>
  <c r="H624" i="7"/>
  <c r="H603" i="7"/>
  <c r="H588" i="7"/>
  <c r="H564" i="7"/>
  <c r="H672" i="7"/>
  <c r="I672" i="7" s="1"/>
  <c r="D666" i="7"/>
  <c r="B658" i="7"/>
  <c r="B660" i="7" s="1"/>
  <c r="D653" i="7"/>
  <c r="B645" i="7"/>
  <c r="D641" i="7"/>
  <c r="D79" i="1"/>
  <c r="E79" i="1" s="1"/>
  <c r="D632" i="7"/>
  <c r="B624" i="7"/>
  <c r="D620" i="7"/>
  <c r="E611" i="7"/>
  <c r="D599" i="7"/>
  <c r="D584" i="7"/>
  <c r="B591" i="7"/>
  <c r="B576" i="7"/>
  <c r="D573" i="7"/>
  <c r="B565" i="7"/>
  <c r="D560" i="7"/>
  <c r="B552" i="7"/>
  <c r="D548" i="7"/>
  <c r="D546" i="7" s="1"/>
  <c r="D534" i="7"/>
  <c r="B537" i="7"/>
  <c r="A528" i="7"/>
  <c r="H527" i="7"/>
  <c r="B526" i="7"/>
  <c r="D523" i="7"/>
  <c r="H516" i="7"/>
  <c r="B516" i="7"/>
  <c r="D512" i="7"/>
  <c r="H502" i="7"/>
  <c r="B507" i="7" s="1"/>
  <c r="F69" i="1" s="1"/>
  <c r="D498" i="7"/>
  <c r="H489" i="7"/>
  <c r="D485" i="7"/>
  <c r="B489" i="7"/>
  <c r="H477" i="7"/>
  <c r="D476" i="7"/>
  <c r="H464" i="7"/>
  <c r="D464" i="7"/>
  <c r="D462" i="7"/>
  <c r="B465" i="7"/>
  <c r="D449" i="7"/>
  <c r="H442" i="7"/>
  <c r="B441" i="7"/>
  <c r="D440" i="7"/>
  <c r="D438" i="7" s="1"/>
  <c r="B429" i="7"/>
  <c r="H428" i="7"/>
  <c r="D427" i="7"/>
  <c r="D426" i="7"/>
  <c r="H414" i="7"/>
  <c r="B416" i="7"/>
  <c r="D410" i="7"/>
  <c r="B402" i="7"/>
  <c r="B404" i="7" s="1"/>
  <c r="H392" i="7"/>
  <c r="D388" i="7"/>
  <c r="H374" i="7"/>
  <c r="H358" i="7"/>
  <c r="H346" i="7"/>
  <c r="H334" i="7"/>
  <c r="H318" i="7"/>
  <c r="H297" i="7"/>
  <c r="H285" i="7"/>
  <c r="H269" i="7"/>
  <c r="H259" i="7"/>
  <c r="H237" i="7"/>
  <c r="H212" i="7"/>
  <c r="H178" i="7"/>
  <c r="H167" i="7"/>
  <c r="H136" i="7"/>
  <c r="H123" i="7"/>
  <c r="H111" i="7"/>
  <c r="H88" i="7"/>
  <c r="H74" i="7"/>
  <c r="H61" i="7"/>
  <c r="H45" i="7"/>
  <c r="H30" i="7"/>
  <c r="B191" i="7"/>
  <c r="H189" i="7" s="1"/>
  <c r="I189" i="7" s="1"/>
  <c r="I28" i="1"/>
  <c r="I27" i="1"/>
  <c r="B567" i="7" l="1"/>
  <c r="B568" i="7" s="1"/>
  <c r="B674" i="7"/>
  <c r="B675" i="7" s="1"/>
  <c r="F82" i="1" s="1"/>
  <c r="H444" i="7"/>
  <c r="I444" i="7" s="1"/>
  <c r="B443" i="7"/>
  <c r="B444" i="7" s="1"/>
  <c r="I61" i="1"/>
  <c r="K61" i="1" s="1"/>
  <c r="E388" i="7"/>
  <c r="I71" i="1"/>
  <c r="F50" i="42" s="1"/>
  <c r="E523" i="7"/>
  <c r="I74" i="1"/>
  <c r="K74" i="1" s="1"/>
  <c r="E560" i="7"/>
  <c r="I65" i="1"/>
  <c r="K65" i="1" s="1"/>
  <c r="E449" i="7"/>
  <c r="I68" i="1"/>
  <c r="K68" i="1" s="1"/>
  <c r="E485" i="7"/>
  <c r="I70" i="1"/>
  <c r="K70" i="1" s="1"/>
  <c r="E512" i="7"/>
  <c r="I76" i="1"/>
  <c r="F46" i="42" s="1"/>
  <c r="E584" i="7"/>
  <c r="I78" i="1"/>
  <c r="F63" i="42" s="1"/>
  <c r="E620" i="7"/>
  <c r="I80" i="1"/>
  <c r="K80" i="1" s="1"/>
  <c r="E641" i="7"/>
  <c r="I82" i="1"/>
  <c r="K82" i="1" s="1"/>
  <c r="E666" i="7"/>
  <c r="D424" i="7"/>
  <c r="I64" i="1"/>
  <c r="K64" i="1" s="1"/>
  <c r="E438" i="7"/>
  <c r="H518" i="7"/>
  <c r="I518" i="7" s="1"/>
  <c r="F70" i="1"/>
  <c r="I73" i="1"/>
  <c r="F57" i="42" s="1"/>
  <c r="E546" i="7"/>
  <c r="I75" i="1"/>
  <c r="K75" i="1" s="1"/>
  <c r="E573" i="7"/>
  <c r="I77" i="1"/>
  <c r="K77" i="1" s="1"/>
  <c r="E599" i="7"/>
  <c r="I62" i="1"/>
  <c r="K62" i="1" s="1"/>
  <c r="E410" i="7"/>
  <c r="I69" i="1"/>
  <c r="K69" i="1" s="1"/>
  <c r="E498" i="7"/>
  <c r="I79" i="1"/>
  <c r="F70" i="42" s="1"/>
  <c r="E632" i="7"/>
  <c r="I81" i="1"/>
  <c r="K81" i="1" s="1"/>
  <c r="E653" i="7"/>
  <c r="I72" i="1"/>
  <c r="K72" i="1" s="1"/>
  <c r="E534" i="7"/>
  <c r="F33" i="42"/>
  <c r="K28" i="1"/>
  <c r="F32" i="42"/>
  <c r="K27" i="1"/>
  <c r="H648" i="7"/>
  <c r="I648" i="7" s="1"/>
  <c r="B647" i="7"/>
  <c r="B648" i="7" s="1"/>
  <c r="B418" i="7"/>
  <c r="B419" i="7" s="1"/>
  <c r="F62" i="1" s="1"/>
  <c r="B529" i="7"/>
  <c r="F71" i="1" s="1"/>
  <c r="D473" i="7"/>
  <c r="B433" i="7"/>
  <c r="F63" i="1" s="1"/>
  <c r="H430" i="7"/>
  <c r="I430" i="7" s="1"/>
  <c r="D66" i="1"/>
  <c r="E66" i="1" s="1"/>
  <c r="H466" i="7"/>
  <c r="I466" i="7" s="1"/>
  <c r="B405" i="7"/>
  <c r="F61" i="1" s="1"/>
  <c r="D78" i="1"/>
  <c r="E78" i="1" s="1"/>
  <c r="H626" i="7"/>
  <c r="I626" i="7" s="1"/>
  <c r="D75" i="1"/>
  <c r="E75" i="1" s="1"/>
  <c r="H577" i="7"/>
  <c r="D62" i="1"/>
  <c r="E62" i="1" s="1"/>
  <c r="H416" i="7"/>
  <c r="I416" i="7" s="1"/>
  <c r="H394" i="7"/>
  <c r="I394" i="7" s="1"/>
  <c r="D80" i="1"/>
  <c r="E80" i="1" s="1"/>
  <c r="D77" i="1"/>
  <c r="E77" i="1" s="1"/>
  <c r="H605" i="7"/>
  <c r="D61" i="1"/>
  <c r="E61" i="1" s="1"/>
  <c r="D81" i="1"/>
  <c r="E81" i="1" s="1"/>
  <c r="H659" i="7"/>
  <c r="I659" i="7" s="1"/>
  <c r="D76" i="1"/>
  <c r="E76" i="1" s="1"/>
  <c r="H590" i="7"/>
  <c r="D74" i="1"/>
  <c r="E74" i="1" s="1"/>
  <c r="H566" i="7"/>
  <c r="I566" i="7" s="1"/>
  <c r="B555" i="7"/>
  <c r="H552" i="7"/>
  <c r="I552" i="7" s="1"/>
  <c r="B541" i="7"/>
  <c r="F72" i="1" s="1"/>
  <c r="H538" i="7"/>
  <c r="H529" i="7"/>
  <c r="I529" i="7" s="1"/>
  <c r="D67" i="1"/>
  <c r="E67" i="1" s="1"/>
  <c r="H479" i="7"/>
  <c r="B493" i="7"/>
  <c r="F68" i="1" s="1"/>
  <c r="H491" i="7"/>
  <c r="I491" i="7" s="1"/>
  <c r="D460" i="7"/>
  <c r="B627" i="7"/>
  <c r="F78" i="1" s="1"/>
  <c r="D70" i="1"/>
  <c r="E70" i="1" s="1"/>
  <c r="B636" i="7"/>
  <c r="F79" i="1" s="1"/>
  <c r="D71" i="1"/>
  <c r="E71" i="1" s="1"/>
  <c r="D63" i="1"/>
  <c r="E63" i="1" s="1"/>
  <c r="D68" i="1"/>
  <c r="E68" i="1" s="1"/>
  <c r="D72" i="1"/>
  <c r="E72" i="1" s="1"/>
  <c r="D64" i="1"/>
  <c r="E64" i="1" s="1"/>
  <c r="D69" i="1"/>
  <c r="E69" i="1" s="1"/>
  <c r="D73" i="1"/>
  <c r="E73" i="1" s="1"/>
  <c r="D82" i="1"/>
  <c r="E82" i="1" s="1"/>
  <c r="B661" i="7"/>
  <c r="F81" i="1" s="1"/>
  <c r="B579" i="7"/>
  <c r="B468" i="7"/>
  <c r="F66" i="1" s="1"/>
  <c r="F459" i="40"/>
  <c r="E459" i="40"/>
  <c r="D459" i="40"/>
  <c r="L4" i="9"/>
  <c r="L5" i="9"/>
  <c r="L6" i="9"/>
  <c r="L7" i="9"/>
  <c r="L8" i="9"/>
  <c r="L9" i="9"/>
  <c r="L10" i="9"/>
  <c r="L11" i="9"/>
  <c r="L12" i="9"/>
  <c r="L13" i="9"/>
  <c r="L14" i="9"/>
  <c r="L3" i="9"/>
  <c r="D3" i="9"/>
  <c r="D4" i="9"/>
  <c r="D5" i="9"/>
  <c r="D6" i="9"/>
  <c r="D7" i="9"/>
  <c r="D8" i="9"/>
  <c r="D9" i="9"/>
  <c r="D10" i="9"/>
  <c r="D11" i="9"/>
  <c r="D12" i="9"/>
  <c r="D13" i="9"/>
  <c r="D14" i="9"/>
  <c r="D2" i="9"/>
  <c r="A46" i="14"/>
  <c r="B3" i="14"/>
  <c r="B34" i="14"/>
  <c r="B21" i="14"/>
  <c r="D3" i="14"/>
  <c r="A3" i="14"/>
  <c r="F42" i="42" l="1"/>
  <c r="I590" i="7"/>
  <c r="B593" i="7"/>
  <c r="B594" i="7" s="1"/>
  <c r="F76" i="1" s="1"/>
  <c r="K76" i="1"/>
  <c r="I605" i="7"/>
  <c r="F79" i="42"/>
  <c r="F84" i="42"/>
  <c r="F78" i="42"/>
  <c r="F60" i="42"/>
  <c r="F83" i="42"/>
  <c r="J83" i="42" s="1"/>
  <c r="K83" i="42" s="1"/>
  <c r="F80" i="42"/>
  <c r="F47" i="42"/>
  <c r="K79" i="1"/>
  <c r="F49" i="42"/>
  <c r="K73" i="1"/>
  <c r="K71" i="1"/>
  <c r="F75" i="42"/>
  <c r="F82" i="42"/>
  <c r="K78" i="1"/>
  <c r="F86" i="42"/>
  <c r="J86" i="42" s="1"/>
  <c r="K86" i="42" s="1"/>
  <c r="I67" i="1"/>
  <c r="K67" i="1" s="1"/>
  <c r="E473" i="7"/>
  <c r="I66" i="1"/>
  <c r="K66" i="1" s="1"/>
  <c r="E460" i="7"/>
  <c r="I63" i="1"/>
  <c r="E424" i="7"/>
  <c r="J84" i="42"/>
  <c r="K84" i="42" s="1"/>
  <c r="J46" i="42"/>
  <c r="K46" i="42" s="1"/>
  <c r="J70" i="42"/>
  <c r="K70" i="42" s="1"/>
  <c r="J57" i="42"/>
  <c r="K57" i="42" s="1"/>
  <c r="J63" i="42"/>
  <c r="K63" i="42" s="1"/>
  <c r="J50" i="42"/>
  <c r="K50" i="42" s="1"/>
  <c r="J32" i="42"/>
  <c r="K32" i="42" s="1"/>
  <c r="J33" i="42"/>
  <c r="K33" i="42" s="1"/>
  <c r="F64" i="1"/>
  <c r="F75" i="1"/>
  <c r="I26" i="1"/>
  <c r="K26" i="1" s="1"/>
  <c r="F74" i="1"/>
  <c r="F73" i="1"/>
  <c r="F80" i="1"/>
  <c r="B606" i="7"/>
  <c r="F77" i="1" s="1"/>
  <c r="B480" i="7"/>
  <c r="F67" i="1" s="1"/>
  <c r="J42" i="42" l="1"/>
  <c r="K42" i="42" s="1"/>
  <c r="J80" i="42"/>
  <c r="K80" i="42" s="1"/>
  <c r="J79" i="42"/>
  <c r="K79" i="42" s="1"/>
  <c r="J78" i="42"/>
  <c r="K78" i="42" s="1"/>
  <c r="J49" i="42"/>
  <c r="K49" i="42" s="1"/>
  <c r="J60" i="42"/>
  <c r="K60" i="42" s="1"/>
  <c r="F73" i="42"/>
  <c r="J73" i="42" s="1"/>
  <c r="K73" i="42" s="1"/>
  <c r="J47" i="42"/>
  <c r="K47" i="42" s="1"/>
  <c r="J82" i="42"/>
  <c r="K82" i="42" s="1"/>
  <c r="F37" i="42"/>
  <c r="J75" i="42"/>
  <c r="K75" i="42" s="1"/>
  <c r="K63" i="1"/>
  <c r="F81" i="42"/>
  <c r="B334" i="7"/>
  <c r="J37" i="42" l="1"/>
  <c r="K37" i="42" s="1"/>
  <c r="J81" i="42"/>
  <c r="K81" i="42" s="1"/>
  <c r="H336" i="7"/>
  <c r="I336" i="7" s="1"/>
  <c r="B336" i="7"/>
  <c r="F9" i="1"/>
  <c r="F7" i="1"/>
  <c r="F45" i="1" l="1"/>
  <c r="B13" i="14" l="1"/>
  <c r="E102" i="1" s="1"/>
  <c r="B13" i="9" l="1"/>
  <c r="C13" i="9" s="1"/>
  <c r="D16" i="1" s="1"/>
  <c r="E16" i="1" s="1"/>
  <c r="B3" i="9" l="1"/>
  <c r="C3" i="9" s="1"/>
  <c r="F6" i="1" s="1"/>
  <c r="B4" i="9"/>
  <c r="C4" i="9" s="1"/>
  <c r="B5" i="9"/>
  <c r="C5" i="9" s="1"/>
  <c r="B6" i="9"/>
  <c r="C6" i="9" s="1"/>
  <c r="B7" i="9"/>
  <c r="C7" i="9" s="1"/>
  <c r="B8" i="9"/>
  <c r="C8" i="9" s="1"/>
  <c r="B9" i="9"/>
  <c r="C9" i="9" s="1"/>
  <c r="B10" i="9"/>
  <c r="C10" i="9" s="1"/>
  <c r="B11" i="9"/>
  <c r="B12" i="9"/>
  <c r="C12" i="9" s="1"/>
  <c r="B14" i="9"/>
  <c r="C14" i="9" s="1"/>
  <c r="B2" i="9"/>
  <c r="C460" i="40"/>
  <c r="C461" i="40"/>
  <c r="C462" i="40"/>
  <c r="C463" i="40"/>
  <c r="C464" i="40"/>
  <c r="C465" i="40"/>
  <c r="C466" i="40"/>
  <c r="C467" i="40"/>
  <c r="C468" i="40"/>
  <c r="C469" i="40"/>
  <c r="C470" i="40"/>
  <c r="C471" i="40"/>
  <c r="C11" i="9" l="1"/>
  <c r="A16" i="9"/>
  <c r="E460" i="40"/>
  <c r="E461" i="40"/>
  <c r="F461" i="40"/>
  <c r="E462" i="40"/>
  <c r="E463" i="40"/>
  <c r="F463" i="40"/>
  <c r="E464" i="40"/>
  <c r="F464" i="40"/>
  <c r="E465" i="40"/>
  <c r="F465" i="40"/>
  <c r="E466" i="40"/>
  <c r="F466" i="40"/>
  <c r="E467" i="40"/>
  <c r="F467" i="40"/>
  <c r="D452" i="40" s="1"/>
  <c r="E468" i="40"/>
  <c r="F468" i="40"/>
  <c r="E469" i="40"/>
  <c r="F469" i="40"/>
  <c r="E470" i="40"/>
  <c r="F470" i="40"/>
  <c r="E471" i="40"/>
  <c r="B111" i="7"/>
  <c r="H113" i="7" l="1"/>
  <c r="I113" i="7" s="1"/>
  <c r="B113" i="7"/>
  <c r="E473" i="40"/>
  <c r="E45" i="14" l="1"/>
  <c r="I7" i="1" l="1"/>
  <c r="F12" i="42" l="1"/>
  <c r="K7" i="1"/>
  <c r="F5" i="40"/>
  <c r="J12" i="42" l="1"/>
  <c r="K12" i="42" s="1"/>
  <c r="B6" i="40"/>
  <c r="F6" i="40" s="1"/>
  <c r="B7" i="40" s="1"/>
  <c r="F7" i="40" s="1"/>
  <c r="B8" i="40" l="1"/>
  <c r="F8" i="40" s="1"/>
  <c r="B9" i="40" l="1"/>
  <c r="F9" i="40" l="1"/>
  <c r="B10" i="40" l="1"/>
  <c r="I12" i="40"/>
  <c r="F10" i="40"/>
  <c r="B11" i="40" s="1"/>
  <c r="M12" i="40" l="1"/>
  <c r="F11" i="40"/>
  <c r="B12" i="40" l="1"/>
  <c r="N12" i="40"/>
  <c r="F12" i="40"/>
  <c r="B13" i="40" l="1"/>
  <c r="F13" i="40" l="1"/>
  <c r="B14" i="40" s="1"/>
  <c r="B145" i="7" l="1"/>
  <c r="H138" i="7" l="1"/>
  <c r="I138" i="7" s="1"/>
  <c r="B147" i="7"/>
  <c r="D109" i="7"/>
  <c r="D107" i="7" l="1"/>
  <c r="D330" i="7"/>
  <c r="A52" i="7"/>
  <c r="B370" i="7"/>
  <c r="B354" i="7"/>
  <c r="B342" i="7"/>
  <c r="B330" i="7"/>
  <c r="B314" i="7"/>
  <c r="B304" i="7"/>
  <c r="B293" i="7"/>
  <c r="B281" i="7"/>
  <c r="B265" i="7"/>
  <c r="B255" i="7"/>
  <c r="B243" i="7"/>
  <c r="B233" i="7"/>
  <c r="D233" i="7" s="1"/>
  <c r="B208" i="7"/>
  <c r="B197" i="7"/>
  <c r="B185" i="7"/>
  <c r="B174" i="7"/>
  <c r="B163" i="7"/>
  <c r="B153" i="7"/>
  <c r="B132" i="7"/>
  <c r="B119" i="7"/>
  <c r="B107" i="7"/>
  <c r="A370" i="7"/>
  <c r="A354" i="7"/>
  <c r="A342" i="7"/>
  <c r="A330" i="7"/>
  <c r="A314" i="7"/>
  <c r="A304" i="7"/>
  <c r="A293" i="7"/>
  <c r="A281" i="7"/>
  <c r="A265" i="7"/>
  <c r="A255" i="7"/>
  <c r="A243" i="7"/>
  <c r="A233" i="7"/>
  <c r="A223" i="7"/>
  <c r="A208" i="7"/>
  <c r="A197" i="7"/>
  <c r="A185" i="7"/>
  <c r="A174" i="7"/>
  <c r="A163" i="7"/>
  <c r="A153" i="7"/>
  <c r="A132" i="7"/>
  <c r="A119" i="7"/>
  <c r="A107" i="7"/>
  <c r="A97" i="7"/>
  <c r="A84" i="7"/>
  <c r="A70" i="7"/>
  <c r="A57" i="7"/>
  <c r="A41" i="7"/>
  <c r="A26" i="7"/>
  <c r="A12" i="7"/>
  <c r="A3" i="7"/>
  <c r="D54" i="1"/>
  <c r="E54" i="1" s="1"/>
  <c r="D49" i="1"/>
  <c r="E49" i="1" s="1"/>
  <c r="D45" i="1"/>
  <c r="E45" i="1" s="1"/>
  <c r="D42" i="1"/>
  <c r="E42" i="1" s="1"/>
  <c r="D364" i="7"/>
  <c r="D354" i="7" s="1"/>
  <c r="D342" i="7"/>
  <c r="B345" i="7"/>
  <c r="H348" i="7" s="1"/>
  <c r="I348" i="7" s="1"/>
  <c r="I57" i="1"/>
  <c r="D314" i="7"/>
  <c r="B307" i="7"/>
  <c r="D304" i="7"/>
  <c r="B299" i="7"/>
  <c r="D293" i="7"/>
  <c r="B285" i="7"/>
  <c r="D281" i="7"/>
  <c r="B273" i="7"/>
  <c r="B260" i="7"/>
  <c r="F51" i="1" s="1"/>
  <c r="H51" i="1" s="1"/>
  <c r="D255" i="7"/>
  <c r="B247" i="7"/>
  <c r="D243" i="7"/>
  <c r="B236" i="7"/>
  <c r="B226" i="7"/>
  <c r="D214" i="7"/>
  <c r="D211" i="7"/>
  <c r="A202" i="7"/>
  <c r="B200" i="7"/>
  <c r="H201" i="7" s="1"/>
  <c r="D199" i="7"/>
  <c r="D197" i="7" s="1"/>
  <c r="D185" i="7"/>
  <c r="B177" i="7"/>
  <c r="D44" i="1" s="1"/>
  <c r="E44" i="1" s="1"/>
  <c r="D174" i="7"/>
  <c r="B166" i="7"/>
  <c r="D163" i="7"/>
  <c r="B158" i="7"/>
  <c r="D153" i="7"/>
  <c r="B148" i="7"/>
  <c r="F41" i="1" s="1"/>
  <c r="D132" i="7"/>
  <c r="D119" i="7"/>
  <c r="D39" i="1"/>
  <c r="E39" i="1" s="1"/>
  <c r="I50" i="1" l="1"/>
  <c r="K50" i="1" s="1"/>
  <c r="E243" i="7"/>
  <c r="I40" i="1"/>
  <c r="F67" i="42" s="1"/>
  <c r="E119" i="7"/>
  <c r="I41" i="1"/>
  <c r="K41" i="1" s="1"/>
  <c r="E132" i="7"/>
  <c r="I43" i="1"/>
  <c r="K43" i="1" s="1"/>
  <c r="E163" i="7"/>
  <c r="I45" i="1"/>
  <c r="F59" i="42" s="1"/>
  <c r="E185" i="7"/>
  <c r="I49" i="1"/>
  <c r="F64" i="42" s="1"/>
  <c r="E233" i="7"/>
  <c r="I51" i="1"/>
  <c r="F68" i="42" s="1"/>
  <c r="E255" i="7"/>
  <c r="I53" i="1"/>
  <c r="F66" i="42" s="1"/>
  <c r="E281" i="7"/>
  <c r="I55" i="1"/>
  <c r="F71" i="42" s="1"/>
  <c r="E304" i="7"/>
  <c r="E107" i="7"/>
  <c r="I58" i="1"/>
  <c r="F58" i="42" s="1"/>
  <c r="E342" i="7"/>
  <c r="I42" i="1"/>
  <c r="F52" i="42" s="1"/>
  <c r="E153" i="7"/>
  <c r="I54" i="1"/>
  <c r="F69" i="42" s="1"/>
  <c r="E293" i="7"/>
  <c r="I59" i="1"/>
  <c r="F76" i="42" s="1"/>
  <c r="E354" i="7"/>
  <c r="I46" i="1"/>
  <c r="F61" i="42" s="1"/>
  <c r="E197" i="7"/>
  <c r="I44" i="1"/>
  <c r="F56" i="42" s="1"/>
  <c r="E174" i="7"/>
  <c r="I52" i="1"/>
  <c r="F65" i="42" s="1"/>
  <c r="E265" i="7"/>
  <c r="E330" i="7"/>
  <c r="I56" i="1"/>
  <c r="F72" i="42" s="1"/>
  <c r="E314" i="7"/>
  <c r="F51" i="42"/>
  <c r="F55" i="42"/>
  <c r="K57" i="1"/>
  <c r="D50" i="1"/>
  <c r="E50" i="1" s="1"/>
  <c r="H247" i="7"/>
  <c r="H214" i="7"/>
  <c r="I214" i="7" s="1"/>
  <c r="H169" i="7"/>
  <c r="I169" i="7" s="1"/>
  <c r="H271" i="7"/>
  <c r="D53" i="1"/>
  <c r="E53" i="1" s="1"/>
  <c r="H287" i="7"/>
  <c r="I287" i="7" s="1"/>
  <c r="F48" i="1"/>
  <c r="H48" i="1" s="1"/>
  <c r="H227" i="7"/>
  <c r="I227" i="7" s="1"/>
  <c r="D223" i="7" s="1"/>
  <c r="B309" i="7"/>
  <c r="F55" i="1" s="1"/>
  <c r="H55" i="1" s="1"/>
  <c r="H308" i="7"/>
  <c r="B238" i="7"/>
  <c r="H239" i="7"/>
  <c r="I239" i="7" s="1"/>
  <c r="H376" i="7"/>
  <c r="I376" i="7" s="1"/>
  <c r="D46" i="1"/>
  <c r="E46" i="1" s="1"/>
  <c r="B202" i="7"/>
  <c r="B203" i="7" s="1"/>
  <c r="F42" i="1"/>
  <c r="H157" i="7"/>
  <c r="F54" i="1"/>
  <c r="H54" i="1" s="1"/>
  <c r="H299" i="7"/>
  <c r="I299" i="7" s="1"/>
  <c r="F49" i="1"/>
  <c r="H49" i="1" s="1"/>
  <c r="D208" i="7"/>
  <c r="B180" i="7"/>
  <c r="B250" i="7"/>
  <c r="F50" i="1" s="1"/>
  <c r="H50" i="1" s="1"/>
  <c r="D370" i="7"/>
  <c r="B288" i="7"/>
  <c r="D55" i="1"/>
  <c r="E55" i="1" s="1"/>
  <c r="D41" i="1"/>
  <c r="E41" i="1" s="1"/>
  <c r="D58" i="1"/>
  <c r="E58" i="1" s="1"/>
  <c r="B124" i="7"/>
  <c r="B126" i="7" s="1"/>
  <c r="D60" i="1"/>
  <c r="E60" i="1" s="1"/>
  <c r="D52" i="1"/>
  <c r="E52" i="1" s="1"/>
  <c r="D43" i="1"/>
  <c r="E43" i="1" s="1"/>
  <c r="D47" i="1"/>
  <c r="E47" i="1" s="1"/>
  <c r="I39" i="1"/>
  <c r="D48" i="1"/>
  <c r="E48" i="1" s="1"/>
  <c r="D57" i="1"/>
  <c r="E57" i="1" s="1"/>
  <c r="D51" i="1"/>
  <c r="E51" i="1" s="1"/>
  <c r="B349" i="7"/>
  <c r="F58" i="1" s="1"/>
  <c r="H58" i="1" s="1"/>
  <c r="E3" i="14"/>
  <c r="F62" i="42" l="1"/>
  <c r="J62" i="42" s="1"/>
  <c r="K62" i="42" s="1"/>
  <c r="K55" i="1"/>
  <c r="K45" i="1"/>
  <c r="I271" i="7"/>
  <c r="B275" i="7"/>
  <c r="B276" i="7" s="1"/>
  <c r="F52" i="1" s="1"/>
  <c r="H52" i="1" s="1"/>
  <c r="F53" i="42"/>
  <c r="K42" i="1"/>
  <c r="K51" i="1"/>
  <c r="K40" i="1"/>
  <c r="K49" i="1"/>
  <c r="K53" i="1"/>
  <c r="K46" i="1"/>
  <c r="K59" i="1"/>
  <c r="K56" i="1"/>
  <c r="K44" i="1"/>
  <c r="K52" i="1"/>
  <c r="K54" i="1"/>
  <c r="K58" i="1"/>
  <c r="I60" i="1"/>
  <c r="F77" i="42" s="1"/>
  <c r="E370" i="7"/>
  <c r="I47" i="1"/>
  <c r="F85" i="42" s="1"/>
  <c r="E208" i="7"/>
  <c r="I48" i="1"/>
  <c r="K48" i="1" s="1"/>
  <c r="E223" i="7"/>
  <c r="J55" i="42"/>
  <c r="K55" i="42" s="1"/>
  <c r="J61" i="42"/>
  <c r="K61" i="42" s="1"/>
  <c r="J71" i="42"/>
  <c r="K71" i="42" s="1"/>
  <c r="J68" i="42"/>
  <c r="K68" i="42" s="1"/>
  <c r="J76" i="42"/>
  <c r="K76" i="42" s="1"/>
  <c r="J56" i="42"/>
  <c r="K56" i="42" s="1"/>
  <c r="J64" i="42"/>
  <c r="K64" i="42" s="1"/>
  <c r="J67" i="42"/>
  <c r="K67" i="42" s="1"/>
  <c r="J69" i="42"/>
  <c r="K69" i="42" s="1"/>
  <c r="J58" i="42"/>
  <c r="K58" i="42" s="1"/>
  <c r="J52" i="42"/>
  <c r="K52" i="42" s="1"/>
  <c r="J66" i="42"/>
  <c r="K66" i="42" s="1"/>
  <c r="J59" i="42"/>
  <c r="K59" i="42" s="1"/>
  <c r="J51" i="42"/>
  <c r="K51" i="42" s="1"/>
  <c r="J65" i="42"/>
  <c r="K65" i="42" s="1"/>
  <c r="J72" i="42"/>
  <c r="K72" i="42" s="1"/>
  <c r="F48" i="42"/>
  <c r="K39" i="1"/>
  <c r="H320" i="7"/>
  <c r="I320" i="7" s="1"/>
  <c r="B127" i="7"/>
  <c r="D40" i="1"/>
  <c r="E40" i="1" s="1"/>
  <c r="H125" i="7"/>
  <c r="I125" i="7" s="1"/>
  <c r="F14" i="40"/>
  <c r="B15" i="40" s="1"/>
  <c r="D15" i="40" s="1"/>
  <c r="F46" i="1"/>
  <c r="F44" i="1"/>
  <c r="H180" i="7"/>
  <c r="I180" i="7" s="1"/>
  <c r="F53" i="1"/>
  <c r="H53" i="1" s="1"/>
  <c r="D56" i="1"/>
  <c r="E56" i="1" s="1"/>
  <c r="J53" i="42" l="1"/>
  <c r="K53" i="42" s="1"/>
  <c r="K47" i="1"/>
  <c r="F74" i="42"/>
  <c r="K60" i="1"/>
  <c r="J48" i="42"/>
  <c r="K48" i="42" s="1"/>
  <c r="J85" i="42"/>
  <c r="K85" i="42" s="1"/>
  <c r="J77" i="42"/>
  <c r="K77" i="42" s="1"/>
  <c r="F15" i="40"/>
  <c r="B16" i="40" s="1"/>
  <c r="D16" i="40" s="1"/>
  <c r="J74" i="42" l="1"/>
  <c r="K74" i="42" s="1"/>
  <c r="F16" i="40"/>
  <c r="B17" i="40" s="1"/>
  <c r="D17" i="40" s="1"/>
  <c r="F17" i="40" l="1"/>
  <c r="B18" i="40" s="1"/>
  <c r="D18" i="40" s="1"/>
  <c r="F18" i="40" l="1"/>
  <c r="B19" i="40" s="1"/>
  <c r="D19" i="40" s="1"/>
  <c r="F19" i="40" l="1"/>
  <c r="B20" i="40" s="1"/>
  <c r="D20" i="40" s="1"/>
  <c r="F20" i="40" l="1"/>
  <c r="B21" i="40" s="1"/>
  <c r="D21" i="40" s="1"/>
  <c r="F21" i="40" l="1"/>
  <c r="B22" i="40" s="1"/>
  <c r="D22" i="40" s="1"/>
  <c r="H25" i="1"/>
  <c r="H106" i="1"/>
  <c r="F22" i="40" l="1"/>
  <c r="B23" i="40" s="1"/>
  <c r="D23" i="40" s="1"/>
  <c r="D3" i="7"/>
  <c r="D72" i="7"/>
  <c r="F23" i="40" l="1"/>
  <c r="B24" i="40" s="1"/>
  <c r="D24" i="40" s="1"/>
  <c r="F24" i="40" l="1"/>
  <c r="B25" i="40" s="1"/>
  <c r="D25" i="40" s="1"/>
  <c r="E108" i="36"/>
  <c r="H95" i="36"/>
  <c r="B71" i="36"/>
  <c r="F25" i="40" l="1"/>
  <c r="B26" i="40" s="1"/>
  <c r="D26" i="40" s="1"/>
  <c r="D14" i="7"/>
  <c r="H24" i="1"/>
  <c r="F26" i="40" l="1"/>
  <c r="B27" i="40" s="1"/>
  <c r="D27" i="40" s="1"/>
  <c r="I25" i="1"/>
  <c r="K25" i="1" s="1"/>
  <c r="F27" i="40" l="1"/>
  <c r="B28" i="40" s="1"/>
  <c r="D28" i="40" s="1"/>
  <c r="J24" i="1"/>
  <c r="F28" i="40" l="1"/>
  <c r="B29" i="40" s="1"/>
  <c r="D29" i="40" s="1"/>
  <c r="H28" i="1"/>
  <c r="E34" i="14"/>
  <c r="E21" i="14"/>
  <c r="E64" i="14"/>
  <c r="F98" i="1"/>
  <c r="F29" i="40" l="1"/>
  <c r="B30" i="40" s="1"/>
  <c r="D30" i="40" s="1"/>
  <c r="D23" i="1"/>
  <c r="E23" i="1" s="1"/>
  <c r="D24" i="1"/>
  <c r="E24" i="1" s="1"/>
  <c r="D25" i="1"/>
  <c r="D26" i="1"/>
  <c r="D27" i="1"/>
  <c r="F27" i="1" s="1"/>
  <c r="E20" i="1"/>
  <c r="E21" i="1"/>
  <c r="E28" i="1"/>
  <c r="E26" i="1" l="1"/>
  <c r="F26" i="1"/>
  <c r="H26" i="1" s="1"/>
  <c r="F30" i="40"/>
  <c r="B31" i="40" s="1"/>
  <c r="D31" i="40" s="1"/>
  <c r="H27" i="1"/>
  <c r="E27" i="1"/>
  <c r="E25" i="1"/>
  <c r="F31" i="40" l="1"/>
  <c r="B32" i="40" s="1"/>
  <c r="D32" i="40" s="1"/>
  <c r="J25" i="1"/>
  <c r="J27" i="1"/>
  <c r="J28" i="1"/>
  <c r="F32" i="40" l="1"/>
  <c r="B33" i="40" s="1"/>
  <c r="D33" i="40" s="1"/>
  <c r="F33" i="40" l="1"/>
  <c r="B34" i="40" s="1"/>
  <c r="D34" i="40" s="1"/>
  <c r="J26" i="1"/>
  <c r="B47" i="7"/>
  <c r="B18" i="7"/>
  <c r="D15" i="7"/>
  <c r="H47" i="7" l="1"/>
  <c r="I47" i="7" s="1"/>
  <c r="F34" i="40"/>
  <c r="B35" i="40" s="1"/>
  <c r="D35" i="40" s="1"/>
  <c r="D38" i="1"/>
  <c r="E38" i="1" s="1"/>
  <c r="D35" i="1"/>
  <c r="E35" i="1" s="1"/>
  <c r="H16" i="7"/>
  <c r="F35" i="40" l="1"/>
  <c r="B36" i="40" s="1"/>
  <c r="D36" i="40" s="1"/>
  <c r="F36" i="40" l="1"/>
  <c r="B37" i="40" s="1"/>
  <c r="D37" i="40" s="1"/>
  <c r="F37" i="40" l="1"/>
  <c r="B38" i="40" s="1"/>
  <c r="D38" i="40" s="1"/>
  <c r="H63" i="1"/>
  <c r="F38" i="40" l="1"/>
  <c r="B39" i="40" s="1"/>
  <c r="D39" i="40" s="1"/>
  <c r="D471" i="40"/>
  <c r="F39" i="40" l="1"/>
  <c r="B40" i="40" s="1"/>
  <c r="D40" i="40" s="1"/>
  <c r="D21" i="9"/>
  <c r="D19" i="9"/>
  <c r="D16" i="9"/>
  <c r="C70" i="7"/>
  <c r="C57" i="7"/>
  <c r="D64" i="14"/>
  <c r="D45" i="14"/>
  <c r="D34" i="14"/>
  <c r="D21" i="14"/>
  <c r="A67" i="14"/>
  <c r="A64" i="14"/>
  <c r="A59" i="14"/>
  <c r="A54" i="14"/>
  <c r="A45" i="14"/>
  <c r="A40" i="14"/>
  <c r="A34" i="14"/>
  <c r="A21" i="14"/>
  <c r="A28" i="14"/>
  <c r="A29" i="14"/>
  <c r="A23" i="14"/>
  <c r="A2" i="1"/>
  <c r="B50" i="7" s="1"/>
  <c r="D22" i="9" l="1"/>
  <c r="F40" i="40"/>
  <c r="B41" i="40" s="1"/>
  <c r="D41" i="40" s="1"/>
  <c r="B218" i="7"/>
  <c r="F47" i="1" s="1"/>
  <c r="H47" i="1" s="1"/>
  <c r="B383" i="7"/>
  <c r="F60" i="1" s="1"/>
  <c r="H60" i="1" s="1"/>
  <c r="B169" i="7"/>
  <c r="B325" i="7"/>
  <c r="F56" i="1" s="1"/>
  <c r="H56" i="1" s="1"/>
  <c r="F40" i="1"/>
  <c r="F41" i="40" l="1"/>
  <c r="B42" i="40" s="1"/>
  <c r="D42" i="40" s="1"/>
  <c r="B114" i="7"/>
  <c r="F39" i="1" s="1"/>
  <c r="B337" i="7"/>
  <c r="F57" i="1" s="1"/>
  <c r="H57" i="1" s="1"/>
  <c r="F43" i="1"/>
  <c r="B52" i="7"/>
  <c r="F34" i="1" s="1"/>
  <c r="F42" i="40" l="1"/>
  <c r="B43" i="40" s="1"/>
  <c r="D43" i="40" s="1"/>
  <c r="F43" i="40" l="1"/>
  <c r="B44" i="40" s="1"/>
  <c r="D44" i="40" s="1"/>
  <c r="B16" i="14"/>
  <c r="F44" i="40" l="1"/>
  <c r="B45" i="40" s="1"/>
  <c r="D45" i="40" s="1"/>
  <c r="D43" i="7"/>
  <c r="D41" i="7" s="1"/>
  <c r="F45" i="40" l="1"/>
  <c r="B46" i="40" s="1"/>
  <c r="D46" i="40" s="1"/>
  <c r="I106" i="1"/>
  <c r="G107" i="1"/>
  <c r="C107" i="1"/>
  <c r="K106" i="1" l="1"/>
  <c r="E27" i="43"/>
  <c r="F46" i="40"/>
  <c r="B47" i="40" s="1"/>
  <c r="D47" i="40" s="1"/>
  <c r="J106" i="1"/>
  <c r="D104" i="1"/>
  <c r="B33" i="7"/>
  <c r="D32" i="1"/>
  <c r="E32" i="1" s="1"/>
  <c r="I27" i="43" l="1"/>
  <c r="J27" i="43" s="1"/>
  <c r="H32" i="7"/>
  <c r="I32" i="7" s="1"/>
  <c r="F47" i="40"/>
  <c r="B48" i="40" s="1"/>
  <c r="D48" i="40" s="1"/>
  <c r="D33" i="1"/>
  <c r="E33" i="1" s="1"/>
  <c r="D102" i="1"/>
  <c r="F48" i="40" l="1"/>
  <c r="B49" i="40" s="1"/>
  <c r="D49" i="40" s="1"/>
  <c r="F49" i="40" l="1"/>
  <c r="B50" i="40" s="1"/>
  <c r="D50" i="40" s="1"/>
  <c r="H80" i="1"/>
  <c r="H81" i="1"/>
  <c r="H82" i="1"/>
  <c r="H75" i="1"/>
  <c r="F102" i="1"/>
  <c r="B56" i="14"/>
  <c r="B40" i="14"/>
  <c r="F104" i="1" s="1"/>
  <c r="F50" i="40" l="1"/>
  <c r="B51" i="40" s="1"/>
  <c r="D51" i="40" s="1"/>
  <c r="B59" i="14"/>
  <c r="F105" i="1" s="1"/>
  <c r="H71" i="1"/>
  <c r="H77" i="1"/>
  <c r="H74" i="1"/>
  <c r="H70" i="1"/>
  <c r="D105" i="1"/>
  <c r="H69" i="1"/>
  <c r="H72" i="1"/>
  <c r="F51" i="40" l="1"/>
  <c r="B52" i="40" s="1"/>
  <c r="D52" i="40" s="1"/>
  <c r="H67" i="1"/>
  <c r="H73" i="1"/>
  <c r="H66" i="1"/>
  <c r="H68" i="1"/>
  <c r="F52" i="40" l="1"/>
  <c r="B53" i="40" s="1"/>
  <c r="D53" i="40" s="1"/>
  <c r="F53" i="40" l="1"/>
  <c r="B54" i="40" s="1"/>
  <c r="D54" i="40" s="1"/>
  <c r="F54" i="40" l="1"/>
  <c r="B55" i="40" s="1"/>
  <c r="D55" i="40" s="1"/>
  <c r="F55" i="40" l="1"/>
  <c r="B56" i="40" s="1"/>
  <c r="D56" i="40" s="1"/>
  <c r="D34" i="1"/>
  <c r="E34" i="1" s="1"/>
  <c r="D28" i="7"/>
  <c r="D29" i="7"/>
  <c r="H90" i="7" l="1"/>
  <c r="I90" i="7" s="1"/>
  <c r="I37" i="1" s="1"/>
  <c r="F56" i="40"/>
  <c r="B57" i="40" s="1"/>
  <c r="D57" i="40" s="1"/>
  <c r="D37" i="1"/>
  <c r="E37" i="1" s="1"/>
  <c r="D26" i="7"/>
  <c r="H40" i="1"/>
  <c r="H39" i="1"/>
  <c r="B21" i="7"/>
  <c r="F32" i="1" s="1"/>
  <c r="I102" i="1"/>
  <c r="D7" i="1"/>
  <c r="E7" i="1" s="1"/>
  <c r="D10" i="1"/>
  <c r="E10" i="1" s="1"/>
  <c r="D9" i="1"/>
  <c r="E9" i="1" s="1"/>
  <c r="H126" i="36"/>
  <c r="H125" i="36"/>
  <c r="H124" i="36"/>
  <c r="H123" i="36"/>
  <c r="H121" i="36"/>
  <c r="H120" i="36"/>
  <c r="H119" i="36"/>
  <c r="A113" i="36"/>
  <c r="A114" i="36" s="1"/>
  <c r="A115" i="36" s="1"/>
  <c r="A118" i="36" s="1"/>
  <c r="A119" i="36" s="1"/>
  <c r="A120" i="36" s="1"/>
  <c r="A121" i="36" s="1"/>
  <c r="A122" i="36" s="1"/>
  <c r="A123" i="36" s="1"/>
  <c r="A124" i="36" s="1"/>
  <c r="A125" i="36" s="1"/>
  <c r="A126" i="36" s="1"/>
  <c r="A127" i="36" s="1"/>
  <c r="A129" i="36" s="1"/>
  <c r="A130" i="36" s="1"/>
  <c r="H105" i="36"/>
  <c r="G88" i="36"/>
  <c r="G92" i="36" s="1"/>
  <c r="G104" i="36" s="1"/>
  <c r="H86" i="36"/>
  <c r="H85" i="36"/>
  <c r="E88" i="36"/>
  <c r="E92" i="36" s="1"/>
  <c r="E104" i="36" s="1"/>
  <c r="D88" i="36"/>
  <c r="A83" i="36"/>
  <c r="A84" i="36" s="1"/>
  <c r="A85" i="36" s="1"/>
  <c r="A86" i="36" s="1"/>
  <c r="A87" i="36" s="1"/>
  <c r="A88" i="36" s="1"/>
  <c r="A91" i="36" s="1"/>
  <c r="A92" i="36" s="1"/>
  <c r="A95" i="36" s="1"/>
  <c r="A96" i="36" s="1"/>
  <c r="A97" i="36" s="1"/>
  <c r="A98" i="36" s="1"/>
  <c r="A99" i="36" s="1"/>
  <c r="A102" i="36" s="1"/>
  <c r="A103" i="36" s="1"/>
  <c r="A104" i="36" s="1"/>
  <c r="A105" i="36" s="1"/>
  <c r="A106" i="36" s="1"/>
  <c r="A107" i="36" s="1"/>
  <c r="A108" i="36" s="1"/>
  <c r="H57" i="36"/>
  <c r="H56" i="36"/>
  <c r="H55" i="36"/>
  <c r="H54" i="36"/>
  <c r="H52" i="36"/>
  <c r="H51" i="36"/>
  <c r="H50" i="36"/>
  <c r="A44" i="36"/>
  <c r="A45" i="36"/>
  <c r="A46" i="36" s="1"/>
  <c r="A49" i="36" s="1"/>
  <c r="A50" i="36" s="1"/>
  <c r="A51" i="36" s="1"/>
  <c r="A52" i="36" s="1"/>
  <c r="A53" i="36" s="1"/>
  <c r="A54" i="36" s="1"/>
  <c r="A55" i="36" s="1"/>
  <c r="A56" i="36" s="1"/>
  <c r="A57" i="36" s="1"/>
  <c r="A58" i="36" s="1"/>
  <c r="A60" i="36" s="1"/>
  <c r="A61" i="36" s="1"/>
  <c r="G19" i="36"/>
  <c r="G23" i="36" s="1"/>
  <c r="H17" i="36"/>
  <c r="H16" i="36"/>
  <c r="E19" i="36"/>
  <c r="E23" i="36"/>
  <c r="E35" i="36"/>
  <c r="H14" i="36"/>
  <c r="A14" i="36"/>
  <c r="A15" i="36"/>
  <c r="A16" i="36"/>
  <c r="A17" i="36" s="1"/>
  <c r="A18" i="36" s="1"/>
  <c r="A19" i="36" s="1"/>
  <c r="A22" i="36" s="1"/>
  <c r="A23" i="36" s="1"/>
  <c r="A26" i="36" s="1"/>
  <c r="A27" i="36" s="1"/>
  <c r="A28" i="36" s="1"/>
  <c r="A29" i="36" s="1"/>
  <c r="A30" i="36" s="1"/>
  <c r="A33" i="36" s="1"/>
  <c r="A34" i="36" s="1"/>
  <c r="A35" i="36" s="1"/>
  <c r="A36" i="36" s="1"/>
  <c r="A37" i="36" s="1"/>
  <c r="A38" i="36" s="1"/>
  <c r="A39" i="36" s="1"/>
  <c r="G58" i="36"/>
  <c r="H114" i="36"/>
  <c r="D67" i="4" s="1"/>
  <c r="H87" i="36"/>
  <c r="D66" i="4"/>
  <c r="H18" i="36"/>
  <c r="H83" i="36"/>
  <c r="D19" i="36"/>
  <c r="D23" i="36"/>
  <c r="D35" i="36" s="1"/>
  <c r="F38" i="36"/>
  <c r="H109" i="36"/>
  <c r="H110" i="36"/>
  <c r="G127" i="36"/>
  <c r="H22" i="36"/>
  <c r="H91" i="36"/>
  <c r="H99" i="36"/>
  <c r="D92" i="36"/>
  <c r="H84" i="36"/>
  <c r="F88" i="36"/>
  <c r="F92" i="36"/>
  <c r="F104" i="36"/>
  <c r="H118" i="36"/>
  <c r="H127" i="36" s="1"/>
  <c r="H15" i="36"/>
  <c r="F19" i="36"/>
  <c r="F23" i="36"/>
  <c r="F35" i="36"/>
  <c r="H49" i="36"/>
  <c r="E38" i="36"/>
  <c r="E39" i="36"/>
  <c r="E42" i="36" s="1"/>
  <c r="H88" i="36"/>
  <c r="H92" i="36" s="1"/>
  <c r="D104" i="36"/>
  <c r="H19" i="36"/>
  <c r="H23" i="36"/>
  <c r="F34" i="36"/>
  <c r="E34" i="36"/>
  <c r="F107" i="36"/>
  <c r="F103" i="36"/>
  <c r="D103" i="36"/>
  <c r="E107" i="36"/>
  <c r="E111" i="36"/>
  <c r="E112" i="36" s="1"/>
  <c r="H112" i="36" s="1"/>
  <c r="D16" i="7"/>
  <c r="H62" i="1"/>
  <c r="G29" i="1"/>
  <c r="I16" i="1"/>
  <c r="I15" i="1"/>
  <c r="I12" i="1"/>
  <c r="I11" i="1"/>
  <c r="F5" i="1"/>
  <c r="H5" i="1" s="1"/>
  <c r="D8" i="1"/>
  <c r="E8" i="1" s="1"/>
  <c r="D11" i="1"/>
  <c r="D12" i="1"/>
  <c r="F13" i="1"/>
  <c r="H13" i="1" s="1"/>
  <c r="D14" i="1"/>
  <c r="D15" i="1"/>
  <c r="D17" i="1"/>
  <c r="H23" i="1"/>
  <c r="F88" i="1"/>
  <c r="I31" i="1"/>
  <c r="B84" i="7"/>
  <c r="B90" i="7" s="1"/>
  <c r="B91" i="7" s="1"/>
  <c r="F37" i="1" s="1"/>
  <c r="B70" i="7"/>
  <c r="B57" i="7"/>
  <c r="B64" i="7" s="1"/>
  <c r="B65" i="7" s="1"/>
  <c r="B41" i="7"/>
  <c r="E41" i="7" s="1"/>
  <c r="B26" i="7"/>
  <c r="J52" i="1"/>
  <c r="J50" i="1"/>
  <c r="J51" i="1"/>
  <c r="J49" i="1"/>
  <c r="J48" i="1"/>
  <c r="J58" i="1"/>
  <c r="J56" i="1"/>
  <c r="J54" i="1"/>
  <c r="J53" i="1"/>
  <c r="J55" i="1"/>
  <c r="J44" i="1"/>
  <c r="J43" i="1"/>
  <c r="J42" i="1"/>
  <c r="D74" i="7"/>
  <c r="D60" i="7"/>
  <c r="I34" i="1"/>
  <c r="J40" i="1"/>
  <c r="B97" i="7"/>
  <c r="D97" i="7"/>
  <c r="C3" i="7"/>
  <c r="C12" i="7"/>
  <c r="C93" i="1"/>
  <c r="J45" i="1"/>
  <c r="H105" i="1"/>
  <c r="H64" i="1"/>
  <c r="H61" i="1"/>
  <c r="D22" i="1"/>
  <c r="D6" i="1"/>
  <c r="D13" i="1"/>
  <c r="D5" i="1"/>
  <c r="E5" i="1" s="1"/>
  <c r="C1" i="9"/>
  <c r="H98" i="1"/>
  <c r="G83" i="1"/>
  <c r="H104" i="1"/>
  <c r="E1" i="9"/>
  <c r="D1" i="9"/>
  <c r="I93" i="1"/>
  <c r="G93" i="1"/>
  <c r="F93" i="1"/>
  <c r="D88" i="1"/>
  <c r="B19" i="9"/>
  <c r="C19" i="9" s="1"/>
  <c r="B45" i="14"/>
  <c r="I105" i="1" s="1"/>
  <c r="I104" i="1"/>
  <c r="J93" i="1"/>
  <c r="G99" i="1"/>
  <c r="F95" i="1"/>
  <c r="H95" i="1" s="1"/>
  <c r="D460" i="40"/>
  <c r="E3" i="9"/>
  <c r="F460" i="40" s="1"/>
  <c r="D451" i="40" s="1"/>
  <c r="D22" i="4"/>
  <c r="D12" i="4"/>
  <c r="D16" i="4" s="1"/>
  <c r="F6" i="4"/>
  <c r="D7" i="4" s="1"/>
  <c r="H78" i="1"/>
  <c r="B12" i="7"/>
  <c r="D17" i="7"/>
  <c r="B3" i="7"/>
  <c r="E31" i="1"/>
  <c r="I13" i="1"/>
  <c r="I14" i="1"/>
  <c r="G88" i="1"/>
  <c r="C88" i="1"/>
  <c r="G19" i="1"/>
  <c r="C19" i="1"/>
  <c r="I103" i="1"/>
  <c r="F35" i="1" l="1"/>
  <c r="H35" i="1" s="1"/>
  <c r="XFD65" i="7"/>
  <c r="G33" i="36"/>
  <c r="G35" i="36"/>
  <c r="L450" i="40"/>
  <c r="K102" i="1"/>
  <c r="E28" i="43"/>
  <c r="I33" i="1"/>
  <c r="F44" i="42" s="1"/>
  <c r="E26" i="7"/>
  <c r="E84" i="7"/>
  <c r="L452" i="40"/>
  <c r="K104" i="1"/>
  <c r="E25" i="43"/>
  <c r="I38" i="1"/>
  <c r="K38" i="1" s="1"/>
  <c r="E97" i="7"/>
  <c r="L451" i="40"/>
  <c r="K103" i="1"/>
  <c r="E29" i="43"/>
  <c r="F31" i="1"/>
  <c r="H31" i="1" s="1"/>
  <c r="E3" i="7"/>
  <c r="L453" i="40"/>
  <c r="K105" i="1"/>
  <c r="E26" i="43"/>
  <c r="J12" i="1"/>
  <c r="F17" i="42"/>
  <c r="F45" i="42"/>
  <c r="K34" i="1"/>
  <c r="F54" i="42"/>
  <c r="K37" i="1"/>
  <c r="F38" i="42"/>
  <c r="F41" i="42"/>
  <c r="K31" i="1"/>
  <c r="J16" i="1"/>
  <c r="K16" i="1"/>
  <c r="F13" i="42"/>
  <c r="K14" i="1"/>
  <c r="F15" i="42"/>
  <c r="K13" i="1"/>
  <c r="F14" i="42"/>
  <c r="K11" i="1"/>
  <c r="H104" i="36"/>
  <c r="D37" i="36"/>
  <c r="D106" i="36"/>
  <c r="H106" i="36" s="1"/>
  <c r="J15" i="1"/>
  <c r="F18" i="42"/>
  <c r="F57" i="40"/>
  <c r="B58" i="40" s="1"/>
  <c r="D58" i="40" s="1"/>
  <c r="C666" i="7"/>
  <c r="C653" i="7"/>
  <c r="C641" i="7"/>
  <c r="C632" i="7"/>
  <c r="C620" i="7"/>
  <c r="C599" i="7"/>
  <c r="J79" i="1"/>
  <c r="J81" i="1"/>
  <c r="J75" i="1"/>
  <c r="J74" i="1"/>
  <c r="J76" i="1"/>
  <c r="J82" i="1"/>
  <c r="J77" i="1"/>
  <c r="J80" i="1"/>
  <c r="J78" i="1"/>
  <c r="J64" i="1"/>
  <c r="J62" i="1"/>
  <c r="J71" i="1"/>
  <c r="J70" i="1"/>
  <c r="J73" i="1"/>
  <c r="J69" i="1"/>
  <c r="J65" i="1"/>
  <c r="J61" i="1"/>
  <c r="J72" i="1"/>
  <c r="J68" i="1"/>
  <c r="J31" i="1"/>
  <c r="J34" i="1"/>
  <c r="J37" i="1"/>
  <c r="J14" i="1"/>
  <c r="J13" i="1"/>
  <c r="J11" i="1"/>
  <c r="D453" i="40"/>
  <c r="C428" i="40" s="1"/>
  <c r="F16" i="1"/>
  <c r="H16" i="1" s="1"/>
  <c r="D467" i="40"/>
  <c r="E13" i="1"/>
  <c r="F15" i="1"/>
  <c r="H15" i="1" s="1"/>
  <c r="E15" i="1"/>
  <c r="C2" i="9"/>
  <c r="J102" i="1"/>
  <c r="J103" i="1"/>
  <c r="E6" i="1"/>
  <c r="I6" i="1"/>
  <c r="H79" i="1"/>
  <c r="C97" i="7"/>
  <c r="C342" i="7"/>
  <c r="C265" i="7"/>
  <c r="C132" i="7"/>
  <c r="C330" i="7"/>
  <c r="C243" i="7"/>
  <c r="C119" i="7"/>
  <c r="C370" i="7"/>
  <c r="C314" i="7"/>
  <c r="C233" i="7"/>
  <c r="C107" i="7"/>
  <c r="C354" i="7"/>
  <c r="C293" i="7"/>
  <c r="C304" i="7" s="1"/>
  <c r="C223" i="7"/>
  <c r="C26" i="7"/>
  <c r="D12" i="7"/>
  <c r="D57" i="7"/>
  <c r="D70" i="7"/>
  <c r="B7" i="4"/>
  <c r="J46" i="1"/>
  <c r="J47" i="1"/>
  <c r="E22" i="1"/>
  <c r="F17" i="1"/>
  <c r="H17" i="1" s="1"/>
  <c r="E17" i="1"/>
  <c r="F14" i="1"/>
  <c r="H14" i="1" s="1"/>
  <c r="E14" i="1"/>
  <c r="F12" i="1"/>
  <c r="H12" i="1" s="1"/>
  <c r="E12" i="1"/>
  <c r="F11" i="1"/>
  <c r="H11" i="1" s="1"/>
  <c r="E11" i="1"/>
  <c r="H58" i="36"/>
  <c r="E113" i="36"/>
  <c r="E115" i="36" s="1"/>
  <c r="E129" i="36" s="1"/>
  <c r="F108" i="36"/>
  <c r="F111" i="36" s="1"/>
  <c r="F113" i="36" s="1"/>
  <c r="D34" i="36"/>
  <c r="G102" i="36"/>
  <c r="G103" i="36" s="1"/>
  <c r="H103" i="36" s="1"/>
  <c r="F39" i="36"/>
  <c r="F42" i="36" s="1"/>
  <c r="F44" i="36" s="1"/>
  <c r="F46" i="36" s="1"/>
  <c r="F60" i="36" s="1"/>
  <c r="B12" i="4"/>
  <c r="B16" i="4" s="1"/>
  <c r="F16" i="4" s="1"/>
  <c r="G34" i="36"/>
  <c r="G38" i="36"/>
  <c r="G39" i="36" s="1"/>
  <c r="G42" i="36" s="1"/>
  <c r="H33" i="36"/>
  <c r="E44" i="36"/>
  <c r="E46" i="36" s="1"/>
  <c r="E60" i="36" s="1"/>
  <c r="G84" i="1"/>
  <c r="G112" i="1" s="1"/>
  <c r="F18" i="4"/>
  <c r="D20" i="4"/>
  <c r="D23" i="4" s="1"/>
  <c r="J41" i="1"/>
  <c r="J105" i="1"/>
  <c r="I107" i="1"/>
  <c r="J107" i="1" s="1"/>
  <c r="F38" i="1"/>
  <c r="G109" i="1"/>
  <c r="D68" i="4"/>
  <c r="D19" i="1"/>
  <c r="E19" i="1" s="1"/>
  <c r="H102" i="1"/>
  <c r="J104" i="1"/>
  <c r="D466" i="40"/>
  <c r="I9" i="1"/>
  <c r="K9" i="1" s="1"/>
  <c r="H34" i="1"/>
  <c r="J57" i="1"/>
  <c r="D29" i="1"/>
  <c r="H46" i="1"/>
  <c r="H41" i="1"/>
  <c r="J39" i="1"/>
  <c r="J60" i="1"/>
  <c r="H37" i="1"/>
  <c r="C84" i="1"/>
  <c r="D468" i="40"/>
  <c r="D465" i="40"/>
  <c r="D470" i="40"/>
  <c r="K10" i="1"/>
  <c r="D469" i="40"/>
  <c r="D462" i="40"/>
  <c r="J33" i="1" l="1"/>
  <c r="E42" i="43"/>
  <c r="K33" i="1"/>
  <c r="J13" i="42"/>
  <c r="K13" i="42" s="1"/>
  <c r="J44" i="42"/>
  <c r="K44" i="42" s="1"/>
  <c r="J38" i="42"/>
  <c r="K38" i="42" s="1"/>
  <c r="J38" i="1"/>
  <c r="I36" i="1"/>
  <c r="F40" i="42" s="1"/>
  <c r="E70" i="7"/>
  <c r="J18" i="42"/>
  <c r="K18" i="42" s="1"/>
  <c r="I29" i="43"/>
  <c r="J29" i="43" s="1"/>
  <c r="I35" i="1"/>
  <c r="K35" i="1" s="1"/>
  <c r="E57" i="7"/>
  <c r="J15" i="42"/>
  <c r="K15" i="42" s="1"/>
  <c r="I42" i="43"/>
  <c r="J42" i="43" s="1"/>
  <c r="I25" i="43"/>
  <c r="J25" i="43" s="1"/>
  <c r="I32" i="1"/>
  <c r="J32" i="1" s="1"/>
  <c r="E12" i="7"/>
  <c r="J14" i="42"/>
  <c r="K14" i="42" s="1"/>
  <c r="I26" i="43"/>
  <c r="J26" i="43" s="1"/>
  <c r="I28" i="43"/>
  <c r="J28" i="43" s="1"/>
  <c r="J41" i="42"/>
  <c r="K41" i="42" s="1"/>
  <c r="J45" i="42"/>
  <c r="K45" i="42" s="1"/>
  <c r="J54" i="42"/>
  <c r="K54" i="42" s="1"/>
  <c r="F23" i="42"/>
  <c r="K6" i="1"/>
  <c r="F115" i="36"/>
  <c r="F129" i="36" s="1"/>
  <c r="D107" i="36"/>
  <c r="D38" i="36"/>
  <c r="D39" i="36" s="1"/>
  <c r="K5" i="7"/>
  <c r="C90" i="1"/>
  <c r="C336" i="40"/>
  <c r="C93" i="40"/>
  <c r="C397" i="40"/>
  <c r="C124" i="40"/>
  <c r="C216" i="40"/>
  <c r="C185" i="40"/>
  <c r="C246" i="40"/>
  <c r="C155" i="40"/>
  <c r="C308" i="40"/>
  <c r="C367" i="40"/>
  <c r="C277" i="40"/>
  <c r="F58" i="40"/>
  <c r="B59" i="40" s="1"/>
  <c r="D59" i="40" s="1"/>
  <c r="J67" i="1"/>
  <c r="J66" i="1"/>
  <c r="J63" i="1"/>
  <c r="J10" i="1"/>
  <c r="J9" i="1"/>
  <c r="J6" i="1"/>
  <c r="C473" i="40"/>
  <c r="L454" i="40"/>
  <c r="C197" i="7"/>
  <c r="C153" i="7"/>
  <c r="C163" i="7"/>
  <c r="C208" i="7"/>
  <c r="C281" i="7" s="1"/>
  <c r="C174" i="7"/>
  <c r="C185" i="7" s="1"/>
  <c r="B20" i="4"/>
  <c r="B23" i="4" s="1"/>
  <c r="F23" i="4" s="1"/>
  <c r="D24" i="4" s="1"/>
  <c r="F20" i="4"/>
  <c r="D108" i="36"/>
  <c r="H102" i="36"/>
  <c r="G107" i="36"/>
  <c r="G108" i="36" s="1"/>
  <c r="G111" i="36" s="1"/>
  <c r="G113" i="36" s="1"/>
  <c r="G115" i="36" s="1"/>
  <c r="G129" i="36" s="1"/>
  <c r="G44" i="36"/>
  <c r="G46" i="36" s="1"/>
  <c r="G60" i="36" s="1"/>
  <c r="G90" i="1"/>
  <c r="H9" i="1"/>
  <c r="D463" i="40"/>
  <c r="D464" i="40"/>
  <c r="H10" i="1"/>
  <c r="B16" i="9"/>
  <c r="H7" i="1"/>
  <c r="D461" i="40"/>
  <c r="J59" i="1"/>
  <c r="C41" i="7"/>
  <c r="C84" i="7"/>
  <c r="H32" i="1"/>
  <c r="K36" i="1" l="1"/>
  <c r="J36" i="1"/>
  <c r="K32" i="1"/>
  <c r="F39" i="42"/>
  <c r="J39" i="42" s="1"/>
  <c r="K39" i="42" s="1"/>
  <c r="F43" i="42"/>
  <c r="J43" i="42" s="1"/>
  <c r="K43" i="42" s="1"/>
  <c r="F42" i="43"/>
  <c r="J35" i="1"/>
  <c r="G42" i="43"/>
  <c r="J23" i="42"/>
  <c r="K23" i="42" s="1"/>
  <c r="J40" i="42"/>
  <c r="K40" i="42" s="1"/>
  <c r="F59" i="40"/>
  <c r="B60" i="40" s="1"/>
  <c r="D60" i="40" s="1"/>
  <c r="B32" i="4"/>
  <c r="B29" i="4"/>
  <c r="B33" i="4"/>
  <c r="B30" i="4"/>
  <c r="B28" i="4"/>
  <c r="B31" i="4"/>
  <c r="D473" i="40"/>
  <c r="H107" i="36"/>
  <c r="H108" i="36"/>
  <c r="D111" i="36"/>
  <c r="D42" i="36"/>
  <c r="D70" i="4"/>
  <c r="B24" i="4"/>
  <c r="C16" i="9"/>
  <c r="I83" i="1"/>
  <c r="H38" i="1"/>
  <c r="H43" i="1"/>
  <c r="H45" i="1"/>
  <c r="F88" i="42" l="1"/>
  <c r="J88" i="42" s="1"/>
  <c r="K88" i="42" s="1"/>
  <c r="J83" i="1"/>
  <c r="K83" i="1"/>
  <c r="F60" i="40"/>
  <c r="B61" i="40" s="1"/>
  <c r="D61" i="40" s="1"/>
  <c r="D113" i="36"/>
  <c r="H113" i="36" s="1"/>
  <c r="D115" i="36"/>
  <c r="H111" i="36"/>
  <c r="D44" i="36"/>
  <c r="H42" i="1"/>
  <c r="H76" i="1"/>
  <c r="H88" i="42" l="1"/>
  <c r="G88" i="42"/>
  <c r="F61" i="40"/>
  <c r="B62" i="40" s="1"/>
  <c r="D62" i="40" s="1"/>
  <c r="D46" i="36"/>
  <c r="D60" i="36" s="1"/>
  <c r="D129" i="36"/>
  <c r="H115" i="36"/>
  <c r="H129" i="36" s="1"/>
  <c r="H60" i="36"/>
  <c r="F62" i="40" l="1"/>
  <c r="B63" i="40" s="1"/>
  <c r="D63" i="40" s="1"/>
  <c r="H44" i="1"/>
  <c r="F63" i="40" l="1"/>
  <c r="B64" i="40" s="1"/>
  <c r="D64" i="40" s="1"/>
  <c r="M14" i="40" l="1"/>
  <c r="F64" i="40"/>
  <c r="B65" i="40" s="1"/>
  <c r="D65" i="40" s="1"/>
  <c r="B29" i="14"/>
  <c r="I15" i="40" l="1"/>
  <c r="K15" i="40" s="1"/>
  <c r="M15" i="40" s="1"/>
  <c r="I16" i="40" s="1"/>
  <c r="K16" i="40" s="1"/>
  <c r="N14" i="40"/>
  <c r="F65" i="40"/>
  <c r="B66" i="40" s="1"/>
  <c r="D66" i="40" s="1"/>
  <c r="M16" i="40"/>
  <c r="I17" i="40" s="1"/>
  <c r="K17" i="40" s="1"/>
  <c r="F103" i="1"/>
  <c r="F107" i="1" s="1"/>
  <c r="D103" i="1"/>
  <c r="F66" i="40" l="1"/>
  <c r="B67" i="40" s="1"/>
  <c r="D67" i="40" s="1"/>
  <c r="M17" i="40"/>
  <c r="I18" i="40" s="1"/>
  <c r="K18" i="40" s="1"/>
  <c r="D107" i="1"/>
  <c r="H103" i="1"/>
  <c r="H107" i="1" s="1"/>
  <c r="F67" i="40" l="1"/>
  <c r="B68" i="40" s="1"/>
  <c r="D68" i="40" s="1"/>
  <c r="M18" i="40"/>
  <c r="I19" i="40" s="1"/>
  <c r="K19" i="40" s="1"/>
  <c r="B76" i="7"/>
  <c r="B78" i="7" s="1"/>
  <c r="H76" i="7" l="1"/>
  <c r="I76" i="7" s="1"/>
  <c r="B79" i="7"/>
  <c r="F68" i="40"/>
  <c r="B69" i="40" s="1"/>
  <c r="D69" i="40" s="1"/>
  <c r="M19" i="40"/>
  <c r="I20" i="40" s="1"/>
  <c r="K20" i="40" s="1"/>
  <c r="D36" i="1"/>
  <c r="E36" i="1" l="1"/>
  <c r="F69" i="40"/>
  <c r="B70" i="40" s="1"/>
  <c r="D70" i="40" s="1"/>
  <c r="M20" i="40"/>
  <c r="I21" i="40" s="1"/>
  <c r="K21" i="40" s="1"/>
  <c r="F36" i="1"/>
  <c r="F70" i="40" l="1"/>
  <c r="B71" i="40" s="1"/>
  <c r="D71" i="40" s="1"/>
  <c r="M21" i="40"/>
  <c r="I22" i="40" s="1"/>
  <c r="K22" i="40" s="1"/>
  <c r="H36" i="1"/>
  <c r="F71" i="40" l="1"/>
  <c r="B72" i="40" s="1"/>
  <c r="D72" i="40" s="1"/>
  <c r="M22" i="40"/>
  <c r="I23" i="40" s="1"/>
  <c r="K23" i="40" s="1"/>
  <c r="F72" i="40" l="1"/>
  <c r="B73" i="40" s="1"/>
  <c r="D73" i="40" s="1"/>
  <c r="M23" i="40"/>
  <c r="I24" i="40" s="1"/>
  <c r="K24" i="40" l="1"/>
  <c r="M24" i="40" s="1"/>
  <c r="I25" i="40" s="1"/>
  <c r="F73" i="40"/>
  <c r="B74" i="40" s="1"/>
  <c r="D74" i="40" s="1"/>
  <c r="J7" i="1"/>
  <c r="K25" i="40" l="1"/>
  <c r="M25" i="40" s="1"/>
  <c r="I26" i="40" s="1"/>
  <c r="F74" i="40"/>
  <c r="B75" i="40" s="1"/>
  <c r="D75" i="40" s="1"/>
  <c r="K26" i="40" l="1"/>
  <c r="M26" i="40" s="1"/>
  <c r="I27" i="40" s="1"/>
  <c r="F75" i="40"/>
  <c r="K27" i="40" l="1"/>
  <c r="M27" i="40" s="1"/>
  <c r="I28" i="40" s="1"/>
  <c r="K28" i="40" l="1"/>
  <c r="M28" i="40" s="1"/>
  <c r="I29" i="40" s="1"/>
  <c r="K29" i="40" l="1"/>
  <c r="M29" i="40" s="1"/>
  <c r="I30" i="40" s="1"/>
  <c r="K30" i="40" l="1"/>
  <c r="M30" i="40"/>
  <c r="I31" i="40" s="1"/>
  <c r="K31" i="40" l="1"/>
  <c r="M31" i="40" s="1"/>
  <c r="I32" i="40" s="1"/>
  <c r="K32" i="40" l="1"/>
  <c r="M32" i="40"/>
  <c r="I33" i="40" s="1"/>
  <c r="K33" i="40" l="1"/>
  <c r="M33" i="40"/>
  <c r="I34" i="40" s="1"/>
  <c r="K34" i="40" l="1"/>
  <c r="M34" i="40" s="1"/>
  <c r="I35" i="40" s="1"/>
  <c r="K35" i="40" l="1"/>
  <c r="M35" i="40" s="1"/>
  <c r="I36" i="40" s="1"/>
  <c r="K36" i="40" l="1"/>
  <c r="M36" i="40"/>
  <c r="I37" i="40" s="1"/>
  <c r="K37" i="40" l="1"/>
  <c r="M37" i="40"/>
  <c r="I38" i="40" s="1"/>
  <c r="K38" i="40" l="1"/>
  <c r="M38" i="40" s="1"/>
  <c r="I39" i="40" s="1"/>
  <c r="K39" i="40" l="1"/>
  <c r="M39" i="40" s="1"/>
  <c r="I40" i="40" s="1"/>
  <c r="K40" i="40" l="1"/>
  <c r="M40" i="40"/>
  <c r="I41" i="40" s="1"/>
  <c r="K41" i="40" l="1"/>
  <c r="M41" i="40" s="1"/>
  <c r="I42" i="40" s="1"/>
  <c r="K42" i="40" l="1"/>
  <c r="M42" i="40" s="1"/>
  <c r="I43" i="40" s="1"/>
  <c r="K43" i="40" l="1"/>
  <c r="M43" i="40" s="1"/>
  <c r="I44" i="40" s="1"/>
  <c r="K44" i="40" l="1"/>
  <c r="M44" i="40" s="1"/>
  <c r="I45" i="40" s="1"/>
  <c r="K45" i="40" l="1"/>
  <c r="M45" i="40" s="1"/>
  <c r="I46" i="40" s="1"/>
  <c r="K46" i="40" l="1"/>
  <c r="M46" i="40" s="1"/>
  <c r="I47" i="40" s="1"/>
  <c r="K47" i="40" l="1"/>
  <c r="M47" i="40" s="1"/>
  <c r="I48" i="40" s="1"/>
  <c r="K48" i="40" l="1"/>
  <c r="M48" i="40" s="1"/>
  <c r="I49" i="40" s="1"/>
  <c r="K49" i="40" l="1"/>
  <c r="M49" i="40" s="1"/>
  <c r="I50" i="40" s="1"/>
  <c r="K50" i="40" l="1"/>
  <c r="M50" i="40" s="1"/>
  <c r="I51" i="40" s="1"/>
  <c r="K51" i="40" l="1"/>
  <c r="M51" i="40" s="1"/>
  <c r="I52" i="40" s="1"/>
  <c r="K52" i="40" l="1"/>
  <c r="M52" i="40" s="1"/>
  <c r="I53" i="40" s="1"/>
  <c r="K53" i="40" l="1"/>
  <c r="M53" i="40" s="1"/>
  <c r="I54" i="40" s="1"/>
  <c r="K54" i="40" l="1"/>
  <c r="M54" i="40" s="1"/>
  <c r="I55" i="40" s="1"/>
  <c r="D76" i="40"/>
  <c r="F8" i="1" s="1"/>
  <c r="K55" i="40" l="1"/>
  <c r="M55" i="40" s="1"/>
  <c r="I56" i="40" s="1"/>
  <c r="D79" i="40"/>
  <c r="K56" i="40" l="1"/>
  <c r="M56" i="40" s="1"/>
  <c r="I57" i="40" s="1"/>
  <c r="F79" i="40"/>
  <c r="B80" i="40" s="1"/>
  <c r="D80" i="40" s="1"/>
  <c r="K57" i="40" l="1"/>
  <c r="M57" i="40" s="1"/>
  <c r="I58" i="40" s="1"/>
  <c r="F80" i="40"/>
  <c r="B81" i="40" s="1"/>
  <c r="D81" i="40" s="1"/>
  <c r="K58" i="40" l="1"/>
  <c r="M58" i="40" s="1"/>
  <c r="I59" i="40" s="1"/>
  <c r="F81" i="40"/>
  <c r="B82" i="40" s="1"/>
  <c r="D82" i="40" s="1"/>
  <c r="K59" i="40" l="1"/>
  <c r="M59" i="40" s="1"/>
  <c r="I60" i="40" s="1"/>
  <c r="F82" i="40"/>
  <c r="B83" i="40" s="1"/>
  <c r="D83" i="40" s="1"/>
  <c r="K60" i="40" l="1"/>
  <c r="M60" i="40" s="1"/>
  <c r="I61" i="40" s="1"/>
  <c r="F83" i="40"/>
  <c r="B84" i="40" s="1"/>
  <c r="D84" i="40" s="1"/>
  <c r="K61" i="40" l="1"/>
  <c r="M61" i="40" s="1"/>
  <c r="I62" i="40" s="1"/>
  <c r="F84" i="40"/>
  <c r="B85" i="40" s="1"/>
  <c r="D85" i="40" s="1"/>
  <c r="K62" i="40" l="1"/>
  <c r="M62" i="40" s="1"/>
  <c r="I63" i="40" s="1"/>
  <c r="F85" i="40"/>
  <c r="B86" i="40" s="1"/>
  <c r="D86" i="40" s="1"/>
  <c r="K63" i="40" l="1"/>
  <c r="M63" i="40" s="1"/>
  <c r="I64" i="40" s="1"/>
  <c r="F86" i="40"/>
  <c r="B87" i="40" s="1"/>
  <c r="D87" i="40" s="1"/>
  <c r="K64" i="40" l="1"/>
  <c r="M64" i="40" s="1"/>
  <c r="I65" i="40" s="1"/>
  <c r="F87" i="40"/>
  <c r="B88" i="40" s="1"/>
  <c r="D88" i="40" s="1"/>
  <c r="K65" i="40" l="1"/>
  <c r="M65" i="40" s="1"/>
  <c r="I66" i="40" s="1"/>
  <c r="K66" i="40" l="1"/>
  <c r="M66" i="40" s="1"/>
  <c r="I67" i="40" s="1"/>
  <c r="K67" i="40" l="1"/>
  <c r="M67" i="40" s="1"/>
  <c r="I68" i="40" s="1"/>
  <c r="K68" i="40" l="1"/>
  <c r="M68" i="40" s="1"/>
  <c r="I69" i="40" s="1"/>
  <c r="K69" i="40" l="1"/>
  <c r="M69" i="40" s="1"/>
  <c r="I70" i="40" s="1"/>
  <c r="K70" i="40" l="1"/>
  <c r="M70" i="40" s="1"/>
  <c r="I71" i="40" s="1"/>
  <c r="K71" i="40" l="1"/>
  <c r="M71" i="40" s="1"/>
  <c r="I72" i="40" s="1"/>
  <c r="K72" i="40" l="1"/>
  <c r="M72" i="40" s="1"/>
  <c r="I73" i="40" s="1"/>
  <c r="K73" i="40" l="1"/>
  <c r="M73" i="40" s="1"/>
  <c r="I74" i="40" s="1"/>
  <c r="K74" i="40" l="1"/>
  <c r="M74" i="40" s="1"/>
  <c r="I75" i="40" s="1"/>
  <c r="K75" i="40" l="1"/>
  <c r="M75" i="40"/>
  <c r="K76" i="40" l="1"/>
  <c r="F96" i="1" s="1"/>
  <c r="K79" i="40" l="1"/>
  <c r="M79" i="40" s="1"/>
  <c r="I80" i="40" s="1"/>
  <c r="K80" i="40" l="1"/>
  <c r="M80" i="40" s="1"/>
  <c r="I81" i="40" s="1"/>
  <c r="K81" i="40" l="1"/>
  <c r="M81" i="40" s="1"/>
  <c r="I82" i="40" s="1"/>
  <c r="K82" i="40" l="1"/>
  <c r="M82" i="40"/>
  <c r="I83" i="40" s="1"/>
  <c r="K83" i="40" l="1"/>
  <c r="M83" i="40" s="1"/>
  <c r="I84" i="40" s="1"/>
  <c r="K84" i="40" l="1"/>
  <c r="M84" i="40" s="1"/>
  <c r="I85" i="40" s="1"/>
  <c r="K85" i="40" l="1"/>
  <c r="M85" i="40"/>
  <c r="I86" i="40" s="1"/>
  <c r="K86" i="40" l="1"/>
  <c r="M86" i="40" s="1"/>
  <c r="I87" i="40" s="1"/>
  <c r="K87" i="40" l="1"/>
  <c r="M87" i="40" s="1"/>
  <c r="I88" i="40" s="1"/>
  <c r="K88" i="40" l="1"/>
  <c r="H96" i="1" l="1"/>
  <c r="F99" i="1"/>
  <c r="H99" i="1" l="1"/>
  <c r="F109" i="1"/>
  <c r="I95" i="1" l="1"/>
  <c r="E19" i="9" l="1"/>
  <c r="E11" i="43"/>
  <c r="B22" i="9"/>
  <c r="C99" i="1"/>
  <c r="C109" i="1" s="1"/>
  <c r="C21" i="9"/>
  <c r="C22" i="9" s="1"/>
  <c r="I11" i="43" l="1"/>
  <c r="J11" i="43" s="1"/>
  <c r="D96" i="1"/>
  <c r="D99" i="1" s="1"/>
  <c r="C445" i="40"/>
  <c r="H8" i="1" l="1"/>
  <c r="B364" i="7" l="1"/>
  <c r="B365" i="7" s="1"/>
  <c r="F59" i="1" s="1"/>
  <c r="D59" i="1"/>
  <c r="H360" i="7"/>
  <c r="I360" i="7" s="1"/>
  <c r="H59" i="1" l="1"/>
  <c r="E59" i="1"/>
  <c r="K14" i="3" l="1"/>
  <c r="L14" i="3" s="1"/>
  <c r="C28" i="3" s="1"/>
  <c r="D28" i="3" s="1"/>
  <c r="I23" i="1" s="1"/>
  <c r="K23" i="1" s="1"/>
  <c r="L7" i="3" l="1"/>
  <c r="L21" i="3" s="1"/>
  <c r="L23" i="3" s="1"/>
  <c r="J23" i="1"/>
  <c r="F31" i="42"/>
  <c r="C26" i="3" l="1"/>
  <c r="C35" i="3" s="1"/>
  <c r="J31" i="42"/>
  <c r="K31" i="42" s="1"/>
  <c r="D26" i="3"/>
  <c r="I22" i="1" s="1"/>
  <c r="K22" i="1" s="1"/>
  <c r="D35" i="3" l="1"/>
  <c r="I29" i="1" l="1"/>
  <c r="K29" i="1" s="1"/>
  <c r="J22" i="1"/>
  <c r="F30" i="42"/>
  <c r="H34" i="42" l="1"/>
  <c r="G34" i="42"/>
  <c r="J30" i="42"/>
  <c r="K30" i="42" s="1"/>
  <c r="F34" i="42"/>
  <c r="I84" i="1"/>
  <c r="J29" i="1"/>
  <c r="E109" i="40" l="1"/>
  <c r="J84" i="1"/>
  <c r="J34" i="42"/>
  <c r="K34" i="42" s="1"/>
  <c r="E352" i="40" l="1"/>
  <c r="E293" i="40"/>
  <c r="E443" i="40"/>
  <c r="E382" i="40"/>
  <c r="E413" i="40"/>
  <c r="E140" i="40"/>
  <c r="E321" i="40"/>
  <c r="E262" i="40"/>
  <c r="E170" i="40" l="1"/>
  <c r="E201" i="40" s="1"/>
  <c r="E231" i="40" s="1"/>
  <c r="F471" i="40" l="1"/>
  <c r="I17" i="1"/>
  <c r="F19" i="42" s="1"/>
  <c r="J17" i="1" l="1"/>
  <c r="T93" i="40" l="1"/>
  <c r="P94" i="40" s="1"/>
  <c r="Q445" i="40"/>
  <c r="R94" i="40" l="1"/>
  <c r="T94" i="40" s="1"/>
  <c r="P95" i="40" s="1"/>
  <c r="R95" i="40" l="1"/>
  <c r="T95" i="40" l="1"/>
  <c r="P96" i="40" s="1"/>
  <c r="R96" i="40" l="1"/>
  <c r="T96" i="40" s="1"/>
  <c r="P97" i="40" s="1"/>
  <c r="R97" i="40" l="1"/>
  <c r="T97" i="40" s="1"/>
  <c r="P98" i="40" s="1"/>
  <c r="R98" i="40" l="1"/>
  <c r="T98" i="40" s="1"/>
  <c r="P99" i="40" s="1"/>
  <c r="R99" i="40" l="1"/>
  <c r="T99" i="40"/>
  <c r="P100" i="40" s="1"/>
  <c r="R100" i="40" l="1"/>
  <c r="T100" i="40" s="1"/>
  <c r="P101" i="40" s="1"/>
  <c r="R101" i="40" l="1"/>
  <c r="T101" i="40" s="1"/>
  <c r="P102" i="40" s="1"/>
  <c r="R102" i="40" l="1"/>
  <c r="T102" i="40" s="1"/>
  <c r="P103" i="40" s="1"/>
  <c r="R103" i="40" l="1"/>
  <c r="T103" i="40"/>
  <c r="P104" i="40" s="1"/>
  <c r="R104" i="40" l="1"/>
  <c r="T104" i="40" s="1"/>
  <c r="P105" i="40" s="1"/>
  <c r="R105" i="40" l="1"/>
  <c r="T105" i="40" s="1"/>
  <c r="P106" i="40" s="1"/>
  <c r="R106" i="40" l="1"/>
  <c r="T106" i="40" s="1"/>
  <c r="P107" i="40" s="1"/>
  <c r="R107" i="40" l="1"/>
  <c r="T107" i="40"/>
  <c r="P108" i="40" s="1"/>
  <c r="R108" i="40" l="1"/>
  <c r="T108" i="40" s="1"/>
  <c r="P109" i="40" s="1"/>
  <c r="R109" i="40" l="1"/>
  <c r="T109" i="40" s="1"/>
  <c r="P110" i="40" s="1"/>
  <c r="R110" i="40" l="1"/>
  <c r="T110" i="40" s="1"/>
  <c r="P111" i="40" s="1"/>
  <c r="R111" i="40" l="1"/>
  <c r="T111" i="40"/>
  <c r="P112" i="40" s="1"/>
  <c r="R112" i="40" l="1"/>
  <c r="T112" i="40" s="1"/>
  <c r="P113" i="40" s="1"/>
  <c r="R113" i="40" l="1"/>
  <c r="T113" i="40" s="1"/>
  <c r="P114" i="40" s="1"/>
  <c r="S114" i="40" s="1"/>
  <c r="R114" i="40" l="1"/>
  <c r="T114" i="40" s="1"/>
  <c r="P115" i="40" s="1"/>
  <c r="R115" i="40" l="1"/>
  <c r="T115" i="40"/>
  <c r="P116" i="40" s="1"/>
  <c r="R116" i="40" l="1"/>
  <c r="T116" i="40" s="1"/>
  <c r="P117" i="40" s="1"/>
  <c r="R117" i="40" l="1"/>
  <c r="T117" i="40" s="1"/>
  <c r="P118" i="40" s="1"/>
  <c r="R118" i="40" l="1"/>
  <c r="T118" i="40" s="1"/>
  <c r="P119" i="40" s="1"/>
  <c r="R119" i="40" l="1"/>
  <c r="T119" i="40"/>
  <c r="P120" i="40" s="1"/>
  <c r="R120" i="40" l="1"/>
  <c r="T120" i="40" s="1"/>
  <c r="P121" i="40" s="1"/>
  <c r="R121" i="40" l="1"/>
  <c r="T121" i="40" s="1"/>
  <c r="P122" i="40" s="1"/>
  <c r="R122" i="40" l="1"/>
  <c r="T122" i="40" s="1"/>
  <c r="P123" i="40" s="1"/>
  <c r="R123" i="40" l="1"/>
  <c r="T123" i="40"/>
  <c r="P124" i="40" s="1"/>
  <c r="R124" i="40" l="1"/>
  <c r="T124" i="40" s="1"/>
  <c r="P125" i="40" s="1"/>
  <c r="R125" i="40" l="1"/>
  <c r="T125" i="40" s="1"/>
  <c r="P126" i="40" s="1"/>
  <c r="R126" i="40" l="1"/>
  <c r="T126" i="40"/>
  <c r="P127" i="40" s="1"/>
  <c r="R127" i="40" l="1"/>
  <c r="T127" i="40" s="1"/>
  <c r="P128" i="40" s="1"/>
  <c r="R128" i="40" l="1"/>
  <c r="T128" i="40" s="1"/>
  <c r="P129" i="40" s="1"/>
  <c r="R129" i="40" l="1"/>
  <c r="T129" i="40" s="1"/>
  <c r="P130" i="40" s="1"/>
  <c r="R130" i="40" l="1"/>
  <c r="T130" i="40"/>
  <c r="P131" i="40" s="1"/>
  <c r="R131" i="40" l="1"/>
  <c r="T131" i="40"/>
  <c r="P132" i="40" s="1"/>
  <c r="R132" i="40" l="1"/>
  <c r="T132" i="40" s="1"/>
  <c r="P133" i="40" s="1"/>
  <c r="R133" i="40" l="1"/>
  <c r="T133" i="40" s="1"/>
  <c r="P134" i="40" s="1"/>
  <c r="R134" i="40" l="1"/>
  <c r="T134" i="40"/>
  <c r="P135" i="40" s="1"/>
  <c r="R135" i="40" l="1"/>
  <c r="T135" i="40"/>
  <c r="P136" i="40" s="1"/>
  <c r="R136" i="40" l="1"/>
  <c r="T136" i="40" s="1"/>
  <c r="P137" i="40" s="1"/>
  <c r="R137" i="40" l="1"/>
  <c r="T137" i="40" s="1"/>
  <c r="P138" i="40" s="1"/>
  <c r="R138" i="40" l="1"/>
  <c r="T138" i="40" s="1"/>
  <c r="P139" i="40" s="1"/>
  <c r="R139" i="40" l="1"/>
  <c r="T139" i="40"/>
  <c r="P140" i="40" s="1"/>
  <c r="R140" i="40" l="1"/>
  <c r="T140" i="40" s="1"/>
  <c r="P141" i="40" s="1"/>
  <c r="R141" i="40" l="1"/>
  <c r="T141" i="40" s="1"/>
  <c r="P142" i="40" s="1"/>
  <c r="R142" i="40" l="1"/>
  <c r="T142" i="40" s="1"/>
  <c r="P143" i="40" s="1"/>
  <c r="R143" i="40" l="1"/>
  <c r="T143" i="40"/>
  <c r="P144" i="40" s="1"/>
  <c r="R144" i="40" l="1"/>
  <c r="T144" i="40" s="1"/>
  <c r="P145" i="40" s="1"/>
  <c r="S145" i="40" s="1"/>
  <c r="R145" i="40" l="1"/>
  <c r="T145" i="40" s="1"/>
  <c r="P146" i="40" s="1"/>
  <c r="R146" i="40" l="1"/>
  <c r="T146" i="40" s="1"/>
  <c r="P147" i="40" s="1"/>
  <c r="R147" i="40" l="1"/>
  <c r="T147" i="40"/>
  <c r="P148" i="40" s="1"/>
  <c r="R148" i="40" l="1"/>
  <c r="T148" i="40" s="1"/>
  <c r="P149" i="40" s="1"/>
  <c r="R149" i="40" l="1"/>
  <c r="T149" i="40" s="1"/>
  <c r="P150" i="40" s="1"/>
  <c r="R150" i="40" l="1"/>
  <c r="T150" i="40" s="1"/>
  <c r="P151" i="40" s="1"/>
  <c r="R151" i="40" l="1"/>
  <c r="T151" i="40"/>
  <c r="P152" i="40" s="1"/>
  <c r="R152" i="40" l="1"/>
  <c r="T152" i="40" s="1"/>
  <c r="P153" i="40" s="1"/>
  <c r="R153" i="40" l="1"/>
  <c r="T153" i="40" s="1"/>
  <c r="P154" i="40" s="1"/>
  <c r="R154" i="40" l="1"/>
  <c r="T154" i="40" s="1"/>
  <c r="P155" i="40" s="1"/>
  <c r="R155" i="40" l="1"/>
  <c r="T155" i="40" s="1"/>
  <c r="P156" i="40" s="1"/>
  <c r="R156" i="40" l="1"/>
  <c r="T156" i="40" s="1"/>
  <c r="P157" i="40" s="1"/>
  <c r="R157" i="40" l="1"/>
  <c r="T157" i="40" s="1"/>
  <c r="P158" i="40" s="1"/>
  <c r="R158" i="40" l="1"/>
  <c r="T158" i="40" s="1"/>
  <c r="P159" i="40" s="1"/>
  <c r="R159" i="40" l="1"/>
  <c r="T159" i="40"/>
  <c r="P160" i="40" s="1"/>
  <c r="R160" i="40" l="1"/>
  <c r="T160" i="40" s="1"/>
  <c r="P161" i="40" s="1"/>
  <c r="R161" i="40" l="1"/>
  <c r="T161" i="40" s="1"/>
  <c r="P162" i="40" s="1"/>
  <c r="R162" i="40" l="1"/>
  <c r="T162" i="40" s="1"/>
  <c r="P163" i="40" s="1"/>
  <c r="R163" i="40" l="1"/>
  <c r="T163" i="40"/>
  <c r="P164" i="40" s="1"/>
  <c r="R164" i="40" l="1"/>
  <c r="T164" i="40" s="1"/>
  <c r="P165" i="40" s="1"/>
  <c r="R165" i="40" l="1"/>
  <c r="T165" i="40" s="1"/>
  <c r="P166" i="40" s="1"/>
  <c r="R166" i="40" l="1"/>
  <c r="T166" i="40" s="1"/>
  <c r="P167" i="40" s="1"/>
  <c r="R167" i="40" l="1"/>
  <c r="T167" i="40"/>
  <c r="P168" i="40" s="1"/>
  <c r="R168" i="40" l="1"/>
  <c r="T168" i="40" s="1"/>
  <c r="P169" i="40" s="1"/>
  <c r="R169" i="40" l="1"/>
  <c r="T169" i="40" s="1"/>
  <c r="P170" i="40" s="1"/>
  <c r="R170" i="40" l="1"/>
  <c r="T170" i="40" s="1"/>
  <c r="P171" i="40" s="1"/>
  <c r="R171" i="40" l="1"/>
  <c r="T171" i="40" s="1"/>
  <c r="P172" i="40" s="1"/>
  <c r="R172" i="40" l="1"/>
  <c r="T172" i="40" s="1"/>
  <c r="P173" i="40" s="1"/>
  <c r="R173" i="40" l="1"/>
  <c r="T173" i="40" s="1"/>
  <c r="P174" i="40" s="1"/>
  <c r="R174" i="40" l="1"/>
  <c r="T174" i="40" s="1"/>
  <c r="P175" i="40" s="1"/>
  <c r="S175" i="40" s="1"/>
  <c r="R175" i="40" l="1"/>
  <c r="T175" i="40" s="1"/>
  <c r="P176" i="40" s="1"/>
  <c r="R176" i="40" l="1"/>
  <c r="T176" i="40" s="1"/>
  <c r="P177" i="40" s="1"/>
  <c r="R177" i="40" l="1"/>
  <c r="T177" i="40" s="1"/>
  <c r="P178" i="40" s="1"/>
  <c r="R178" i="40" l="1"/>
  <c r="T178" i="40" s="1"/>
  <c r="P179" i="40" s="1"/>
  <c r="R179" i="40" l="1"/>
  <c r="T179" i="40"/>
  <c r="P180" i="40" s="1"/>
  <c r="R180" i="40" l="1"/>
  <c r="T180" i="40" s="1"/>
  <c r="P181" i="40" s="1"/>
  <c r="R181" i="40" l="1"/>
  <c r="T181" i="40" s="1"/>
  <c r="P182" i="40" s="1"/>
  <c r="R182" i="40" l="1"/>
  <c r="T182" i="40" s="1"/>
  <c r="P183" i="40" s="1"/>
  <c r="R183" i="40" l="1"/>
  <c r="T183" i="40"/>
  <c r="P184" i="40" s="1"/>
  <c r="R184" i="40" l="1"/>
  <c r="T184" i="40" s="1"/>
  <c r="P185" i="40" s="1"/>
  <c r="R185" i="40" l="1"/>
  <c r="T185" i="40" s="1"/>
  <c r="P186" i="40" s="1"/>
  <c r="R186" i="40" l="1"/>
  <c r="T186" i="40" s="1"/>
  <c r="P187" i="40" s="1"/>
  <c r="R187" i="40" l="1"/>
  <c r="T187" i="40" s="1"/>
  <c r="P188" i="40" s="1"/>
  <c r="R188" i="40" l="1"/>
  <c r="T188" i="40" s="1"/>
  <c r="P189" i="40" s="1"/>
  <c r="R189" i="40" l="1"/>
  <c r="T189" i="40" s="1"/>
  <c r="P190" i="40" s="1"/>
  <c r="R190" i="40" l="1"/>
  <c r="T190" i="40" s="1"/>
  <c r="P191" i="40" s="1"/>
  <c r="R191" i="40" l="1"/>
  <c r="T191" i="40"/>
  <c r="P192" i="40" s="1"/>
  <c r="R192" i="40" l="1"/>
  <c r="T192" i="40" s="1"/>
  <c r="P193" i="40" s="1"/>
  <c r="R193" i="40" l="1"/>
  <c r="T193" i="40" s="1"/>
  <c r="P194" i="40" s="1"/>
  <c r="R194" i="40" l="1"/>
  <c r="T194" i="40" s="1"/>
  <c r="P195" i="40" s="1"/>
  <c r="R195" i="40" l="1"/>
  <c r="T195" i="40"/>
  <c r="P196" i="40" s="1"/>
  <c r="R196" i="40" l="1"/>
  <c r="T196" i="40" s="1"/>
  <c r="P197" i="40" s="1"/>
  <c r="R197" i="40" l="1"/>
  <c r="T197" i="40" s="1"/>
  <c r="P198" i="40" s="1"/>
  <c r="R198" i="40" l="1"/>
  <c r="T198" i="40" s="1"/>
  <c r="P199" i="40" s="1"/>
  <c r="R199" i="40" l="1"/>
  <c r="T199" i="40"/>
  <c r="P200" i="40" s="1"/>
  <c r="R200" i="40" l="1"/>
  <c r="T200" i="40" s="1"/>
  <c r="P201" i="40" s="1"/>
  <c r="R201" i="40" l="1"/>
  <c r="T201" i="40" s="1"/>
  <c r="P202" i="40" s="1"/>
  <c r="R202" i="40" l="1"/>
  <c r="T202" i="40" s="1"/>
  <c r="P203" i="40" s="1"/>
  <c r="R203" i="40" l="1"/>
  <c r="T203" i="40"/>
  <c r="P204" i="40" s="1"/>
  <c r="R204" i="40" l="1"/>
  <c r="T204" i="40" s="1"/>
  <c r="P205" i="40" s="1"/>
  <c r="R205" i="40" l="1"/>
  <c r="T205" i="40" s="1"/>
  <c r="P206" i="40" s="1"/>
  <c r="S206" i="40" s="1"/>
  <c r="R206" i="40" l="1"/>
  <c r="T206" i="40" s="1"/>
  <c r="P207" i="40" s="1"/>
  <c r="R207" i="40" l="1"/>
  <c r="T207" i="40" s="1"/>
  <c r="P208" i="40" s="1"/>
  <c r="R208" i="40" l="1"/>
  <c r="T208" i="40" s="1"/>
  <c r="P209" i="40" s="1"/>
  <c r="R209" i="40" l="1"/>
  <c r="T209" i="40" s="1"/>
  <c r="P210" i="40" s="1"/>
  <c r="R210" i="40" l="1"/>
  <c r="T210" i="40" s="1"/>
  <c r="P211" i="40" s="1"/>
  <c r="R211" i="40" l="1"/>
  <c r="T211" i="40"/>
  <c r="P212" i="40" s="1"/>
  <c r="R212" i="40" l="1"/>
  <c r="T212" i="40" s="1"/>
  <c r="P213" i="40" s="1"/>
  <c r="R213" i="40" l="1"/>
  <c r="T213" i="40" s="1"/>
  <c r="P214" i="40" s="1"/>
  <c r="R214" i="40" l="1"/>
  <c r="T214" i="40" s="1"/>
  <c r="P215" i="40" s="1"/>
  <c r="R215" i="40" l="1"/>
  <c r="T215" i="40" s="1"/>
  <c r="P216" i="40" s="1"/>
  <c r="R216" i="40" l="1"/>
  <c r="T216" i="40" s="1"/>
  <c r="P217" i="40" s="1"/>
  <c r="R217" i="40" l="1"/>
  <c r="T217" i="40" s="1"/>
  <c r="P218" i="40" s="1"/>
  <c r="R218" i="40" l="1"/>
  <c r="T218" i="40" s="1"/>
  <c r="P219" i="40" s="1"/>
  <c r="R219" i="40" l="1"/>
  <c r="T219" i="40" s="1"/>
  <c r="P220" i="40" s="1"/>
  <c r="R220" i="40" l="1"/>
  <c r="T220" i="40" s="1"/>
  <c r="P221" i="40" s="1"/>
  <c r="R221" i="40" l="1"/>
  <c r="T221" i="40" s="1"/>
  <c r="P222" i="40" s="1"/>
  <c r="R222" i="40" l="1"/>
  <c r="T222" i="40" s="1"/>
  <c r="P223" i="40" s="1"/>
  <c r="R223" i="40" l="1"/>
  <c r="T223" i="40" s="1"/>
  <c r="P224" i="40" s="1"/>
  <c r="R224" i="40" l="1"/>
  <c r="T224" i="40" s="1"/>
  <c r="P225" i="40" s="1"/>
  <c r="R225" i="40" l="1"/>
  <c r="T225" i="40" s="1"/>
  <c r="P226" i="40" s="1"/>
  <c r="R226" i="40" l="1"/>
  <c r="T226" i="40" s="1"/>
  <c r="P227" i="40" s="1"/>
  <c r="R227" i="40" l="1"/>
  <c r="T227" i="40" s="1"/>
  <c r="P228" i="40" s="1"/>
  <c r="R228" i="40" l="1"/>
  <c r="T228" i="40" s="1"/>
  <c r="P229" i="40" s="1"/>
  <c r="R229" i="40" l="1"/>
  <c r="T229" i="40" s="1"/>
  <c r="P230" i="40" s="1"/>
  <c r="R230" i="40" l="1"/>
  <c r="T230" i="40" s="1"/>
  <c r="P231" i="40" s="1"/>
  <c r="R231" i="40" l="1"/>
  <c r="T231" i="40" s="1"/>
  <c r="P232" i="40" s="1"/>
  <c r="R232" i="40" l="1"/>
  <c r="T232" i="40"/>
  <c r="P233" i="40" s="1"/>
  <c r="R233" i="40" l="1"/>
  <c r="T233" i="40" s="1"/>
  <c r="P234" i="40" s="1"/>
  <c r="R234" i="40" l="1"/>
  <c r="T234" i="40" s="1"/>
  <c r="P235" i="40" s="1"/>
  <c r="R235" i="40" l="1"/>
  <c r="T235" i="40" s="1"/>
  <c r="P236" i="40" s="1"/>
  <c r="S236" i="40" s="1"/>
  <c r="R236" i="40" l="1"/>
  <c r="T236" i="40"/>
  <c r="P237" i="40" s="1"/>
  <c r="R237" i="40" l="1"/>
  <c r="T237" i="40" s="1"/>
  <c r="P238" i="40" s="1"/>
  <c r="R238" i="40" l="1"/>
  <c r="T238" i="40" s="1"/>
  <c r="P239" i="40" s="1"/>
  <c r="R239" i="40" l="1"/>
  <c r="T239" i="40" s="1"/>
  <c r="P240" i="40" s="1"/>
  <c r="R240" i="40" l="1"/>
  <c r="T240" i="40"/>
  <c r="P241" i="40" s="1"/>
  <c r="R241" i="40" l="1"/>
  <c r="T241" i="40" s="1"/>
  <c r="P242" i="40" s="1"/>
  <c r="R242" i="40" l="1"/>
  <c r="T242" i="40" s="1"/>
  <c r="P243" i="40" s="1"/>
  <c r="R243" i="40" l="1"/>
  <c r="T243" i="40" s="1"/>
  <c r="P244" i="40" s="1"/>
  <c r="R244" i="40" l="1"/>
  <c r="T244" i="40"/>
  <c r="P245" i="40" s="1"/>
  <c r="R245" i="40" l="1"/>
  <c r="T245" i="40" s="1"/>
  <c r="P246" i="40" s="1"/>
  <c r="R246" i="40" l="1"/>
  <c r="T246" i="40" s="1"/>
  <c r="P247" i="40" s="1"/>
  <c r="R247" i="40" l="1"/>
  <c r="T247" i="40" s="1"/>
  <c r="P248" i="40" s="1"/>
  <c r="R248" i="40" l="1"/>
  <c r="T248" i="40" s="1"/>
  <c r="P249" i="40" s="1"/>
  <c r="R249" i="40" l="1"/>
  <c r="T249" i="40" s="1"/>
  <c r="P250" i="40" s="1"/>
  <c r="R250" i="40" l="1"/>
  <c r="T250" i="40" s="1"/>
  <c r="P251" i="40" s="1"/>
  <c r="R251" i="40" l="1"/>
  <c r="T251" i="40" s="1"/>
  <c r="P252" i="40" s="1"/>
  <c r="R252" i="40" l="1"/>
  <c r="T252" i="40" s="1"/>
  <c r="P253" i="40" s="1"/>
  <c r="R253" i="40" l="1"/>
  <c r="T253" i="40" s="1"/>
  <c r="P254" i="40" s="1"/>
  <c r="R254" i="40" l="1"/>
  <c r="T254" i="40" s="1"/>
  <c r="P255" i="40" s="1"/>
  <c r="R255" i="40" l="1"/>
  <c r="T255" i="40" s="1"/>
  <c r="P256" i="40" s="1"/>
  <c r="R256" i="40" l="1"/>
  <c r="T256" i="40" s="1"/>
  <c r="P257" i="40" s="1"/>
  <c r="R257" i="40" l="1"/>
  <c r="T257" i="40" s="1"/>
  <c r="P258" i="40" s="1"/>
  <c r="R258" i="40" l="1"/>
  <c r="T258" i="40" s="1"/>
  <c r="P259" i="40" s="1"/>
  <c r="R259" i="40" l="1"/>
  <c r="T259" i="40"/>
  <c r="P260" i="40" s="1"/>
  <c r="R260" i="40" l="1"/>
  <c r="T260" i="40" s="1"/>
  <c r="P261" i="40" s="1"/>
  <c r="R261" i="40" l="1"/>
  <c r="T261" i="40" s="1"/>
  <c r="P262" i="40" s="1"/>
  <c r="R262" i="40" l="1"/>
  <c r="T262" i="40" s="1"/>
  <c r="P263" i="40" s="1"/>
  <c r="R263" i="40" l="1"/>
  <c r="T263" i="40"/>
  <c r="P264" i="40" s="1"/>
  <c r="R264" i="40" l="1"/>
  <c r="T264" i="40" s="1"/>
  <c r="P265" i="40" s="1"/>
  <c r="R265" i="40" l="1"/>
  <c r="T265" i="40" s="1"/>
  <c r="P266" i="40" s="1"/>
  <c r="R266" i="40" l="1"/>
  <c r="T266" i="40" s="1"/>
  <c r="P267" i="40" s="1"/>
  <c r="S267" i="40" s="1"/>
  <c r="R267" i="40" l="1"/>
  <c r="T267" i="40"/>
  <c r="P268" i="40" s="1"/>
  <c r="R268" i="40" l="1"/>
  <c r="T268" i="40" s="1"/>
  <c r="P269" i="40" s="1"/>
  <c r="R269" i="40" l="1"/>
  <c r="T269" i="40" s="1"/>
  <c r="P270" i="40" s="1"/>
  <c r="R270" i="40" l="1"/>
  <c r="T270" i="40" s="1"/>
  <c r="P271" i="40" s="1"/>
  <c r="R271" i="40" l="1"/>
  <c r="T271" i="40" s="1"/>
  <c r="P272" i="40" s="1"/>
  <c r="R272" i="40" l="1"/>
  <c r="T272" i="40" s="1"/>
  <c r="P273" i="40" s="1"/>
  <c r="R273" i="40" l="1"/>
  <c r="T273" i="40" s="1"/>
  <c r="P274" i="40" s="1"/>
  <c r="R274" i="40" l="1"/>
  <c r="T274" i="40" s="1"/>
  <c r="P275" i="40" s="1"/>
  <c r="R275" i="40" l="1"/>
  <c r="T275" i="40" s="1"/>
  <c r="P276" i="40" s="1"/>
  <c r="R276" i="40" l="1"/>
  <c r="T276" i="40" s="1"/>
  <c r="P277" i="40" s="1"/>
  <c r="R277" i="40" l="1"/>
  <c r="T277" i="40" s="1"/>
  <c r="P278" i="40" s="1"/>
  <c r="R278" i="40" l="1"/>
  <c r="T278" i="40" s="1"/>
  <c r="P279" i="40" s="1"/>
  <c r="R279" i="40" l="1"/>
  <c r="T279" i="40" s="1"/>
  <c r="P280" i="40" s="1"/>
  <c r="R280" i="40" l="1"/>
  <c r="T280" i="40" s="1"/>
  <c r="P281" i="40" s="1"/>
  <c r="R281" i="40" l="1"/>
  <c r="T281" i="40" s="1"/>
  <c r="P282" i="40" s="1"/>
  <c r="R282" i="40" l="1"/>
  <c r="T282" i="40" s="1"/>
  <c r="P283" i="40" s="1"/>
  <c r="R283" i="40" l="1"/>
  <c r="T283" i="40" s="1"/>
  <c r="P284" i="40" s="1"/>
  <c r="R284" i="40" l="1"/>
  <c r="T284" i="40" s="1"/>
  <c r="P285" i="40" s="1"/>
  <c r="R285" i="40" l="1"/>
  <c r="T285" i="40" s="1"/>
  <c r="P286" i="40" s="1"/>
  <c r="R286" i="40" l="1"/>
  <c r="T286" i="40" s="1"/>
  <c r="P287" i="40" s="1"/>
  <c r="R287" i="40" l="1"/>
  <c r="T287" i="40" s="1"/>
  <c r="P288" i="40" s="1"/>
  <c r="R288" i="40" l="1"/>
  <c r="T288" i="40"/>
  <c r="P289" i="40" s="1"/>
  <c r="R289" i="40" l="1"/>
  <c r="T289" i="40" s="1"/>
  <c r="P290" i="40" s="1"/>
  <c r="R290" i="40" l="1"/>
  <c r="T290" i="40" s="1"/>
  <c r="P291" i="40" s="1"/>
  <c r="R291" i="40" l="1"/>
  <c r="T291" i="40" s="1"/>
  <c r="P292" i="40" s="1"/>
  <c r="R292" i="40" l="1"/>
  <c r="T292" i="40" s="1"/>
  <c r="P293" i="40" s="1"/>
  <c r="R293" i="40" l="1"/>
  <c r="T293" i="40" s="1"/>
  <c r="P294" i="40" s="1"/>
  <c r="R294" i="40" l="1"/>
  <c r="T294" i="40" s="1"/>
  <c r="P295" i="40" s="1"/>
  <c r="R295" i="40" l="1"/>
  <c r="T295" i="40" s="1"/>
  <c r="P296" i="40" s="1"/>
  <c r="R296" i="40" l="1"/>
  <c r="T296" i="40" s="1"/>
  <c r="P297" i="40" s="1"/>
  <c r="R297" i="40" l="1"/>
  <c r="T297" i="40" s="1"/>
  <c r="P298" i="40" s="1"/>
  <c r="S298" i="40" s="1"/>
  <c r="R298" i="40" l="1"/>
  <c r="T298" i="40" s="1"/>
  <c r="P299" i="40" s="1"/>
  <c r="R299" i="40" l="1"/>
  <c r="T299" i="40" s="1"/>
  <c r="P300" i="40" s="1"/>
  <c r="R300" i="40" l="1"/>
  <c r="T300" i="40" s="1"/>
  <c r="P301" i="40" s="1"/>
  <c r="R301" i="40" l="1"/>
  <c r="T301" i="40" s="1"/>
  <c r="P302" i="40" s="1"/>
  <c r="R302" i="40" l="1"/>
  <c r="T302" i="40" s="1"/>
  <c r="P303" i="40" s="1"/>
  <c r="R303" i="40" l="1"/>
  <c r="T303" i="40" s="1"/>
  <c r="P304" i="40" s="1"/>
  <c r="R304" i="40" l="1"/>
  <c r="T304" i="40" s="1"/>
  <c r="P305" i="40" s="1"/>
  <c r="R305" i="40" l="1"/>
  <c r="T305" i="40" s="1"/>
  <c r="P306" i="40" s="1"/>
  <c r="R306" i="40" l="1"/>
  <c r="T306" i="40" s="1"/>
  <c r="P307" i="40" s="1"/>
  <c r="R307" i="40" l="1"/>
  <c r="T307" i="40" s="1"/>
  <c r="P308" i="40" s="1"/>
  <c r="R308" i="40" l="1"/>
  <c r="T308" i="40" s="1"/>
  <c r="P309" i="40" s="1"/>
  <c r="R309" i="40" l="1"/>
  <c r="T309" i="40" s="1"/>
  <c r="P310" i="40" s="1"/>
  <c r="R310" i="40" l="1"/>
  <c r="T310" i="40" s="1"/>
  <c r="P311" i="40" s="1"/>
  <c r="R311" i="40" l="1"/>
  <c r="T311" i="40" s="1"/>
  <c r="P312" i="40" s="1"/>
  <c r="R312" i="40" l="1"/>
  <c r="T312" i="40"/>
  <c r="P313" i="40" s="1"/>
  <c r="R313" i="40" l="1"/>
  <c r="T313" i="40" s="1"/>
  <c r="P314" i="40" s="1"/>
  <c r="R314" i="40" l="1"/>
  <c r="T314" i="40" s="1"/>
  <c r="P315" i="40" s="1"/>
  <c r="R315" i="40" l="1"/>
  <c r="T315" i="40" s="1"/>
  <c r="P316" i="40" s="1"/>
  <c r="R316" i="40" l="1"/>
  <c r="T316" i="40" s="1"/>
  <c r="P317" i="40" s="1"/>
  <c r="R317" i="40" l="1"/>
  <c r="T317" i="40" s="1"/>
  <c r="P318" i="40" s="1"/>
  <c r="R318" i="40" l="1"/>
  <c r="T318" i="40" s="1"/>
  <c r="P319" i="40" s="1"/>
  <c r="R319" i="40" l="1"/>
  <c r="T319" i="40" s="1"/>
  <c r="P320" i="40" s="1"/>
  <c r="R320" i="40" l="1"/>
  <c r="T320" i="40" s="1"/>
  <c r="P321" i="40" s="1"/>
  <c r="R321" i="40" l="1"/>
  <c r="T321" i="40" s="1"/>
  <c r="P322" i="40" s="1"/>
  <c r="R322" i="40" l="1"/>
  <c r="T322" i="40" s="1"/>
  <c r="P323" i="40" s="1"/>
  <c r="R323" i="40" l="1"/>
  <c r="T323" i="40" s="1"/>
  <c r="P324" i="40" s="1"/>
  <c r="R324" i="40" l="1"/>
  <c r="T324" i="40" s="1"/>
  <c r="P325" i="40" s="1"/>
  <c r="R325" i="40" l="1"/>
  <c r="T325" i="40" s="1"/>
  <c r="P326" i="40" s="1"/>
  <c r="S326" i="40" s="1"/>
  <c r="R326" i="40" l="1"/>
  <c r="T326" i="40" s="1"/>
  <c r="P327" i="40" s="1"/>
  <c r="R327" i="40" l="1"/>
  <c r="T327" i="40" s="1"/>
  <c r="P328" i="40" s="1"/>
  <c r="R328" i="40" l="1"/>
  <c r="T328" i="40" s="1"/>
  <c r="P329" i="40" s="1"/>
  <c r="R329" i="40" l="1"/>
  <c r="T329" i="40" s="1"/>
  <c r="P330" i="40" s="1"/>
  <c r="R330" i="40" l="1"/>
  <c r="T330" i="40" s="1"/>
  <c r="P331" i="40" s="1"/>
  <c r="R331" i="40" l="1"/>
  <c r="T331" i="40" s="1"/>
  <c r="P332" i="40" s="1"/>
  <c r="R332" i="40" l="1"/>
  <c r="T332" i="40" s="1"/>
  <c r="P333" i="40" s="1"/>
  <c r="R333" i="40" l="1"/>
  <c r="T333" i="40" s="1"/>
  <c r="P334" i="40" s="1"/>
  <c r="R334" i="40" l="1"/>
  <c r="T334" i="40" s="1"/>
  <c r="P335" i="40" s="1"/>
  <c r="R335" i="40" l="1"/>
  <c r="T335" i="40" s="1"/>
  <c r="P336" i="40" s="1"/>
  <c r="R336" i="40" l="1"/>
  <c r="T336" i="40" s="1"/>
  <c r="P337" i="40" s="1"/>
  <c r="R337" i="40" l="1"/>
  <c r="T337" i="40" s="1"/>
  <c r="P338" i="40" s="1"/>
  <c r="R338" i="40" l="1"/>
  <c r="T338" i="40" s="1"/>
  <c r="P339" i="40" s="1"/>
  <c r="R339" i="40" l="1"/>
  <c r="T339" i="40" s="1"/>
  <c r="P340" i="40" s="1"/>
  <c r="R340" i="40" l="1"/>
  <c r="T340" i="40" s="1"/>
  <c r="P341" i="40" s="1"/>
  <c r="R341" i="40" l="1"/>
  <c r="T341" i="40" s="1"/>
  <c r="P342" i="40" s="1"/>
  <c r="R342" i="40" l="1"/>
  <c r="T342" i="40" s="1"/>
  <c r="P343" i="40" s="1"/>
  <c r="R343" i="40" l="1"/>
  <c r="T343" i="40" s="1"/>
  <c r="P344" i="40" s="1"/>
  <c r="R344" i="40" l="1"/>
  <c r="T344" i="40" s="1"/>
  <c r="P345" i="40" s="1"/>
  <c r="R345" i="40" l="1"/>
  <c r="T345" i="40" s="1"/>
  <c r="P346" i="40" s="1"/>
  <c r="R346" i="40" l="1"/>
  <c r="T346" i="40" s="1"/>
  <c r="P347" i="40" s="1"/>
  <c r="R347" i="40" l="1"/>
  <c r="T347" i="40" s="1"/>
  <c r="P348" i="40" s="1"/>
  <c r="R348" i="40" l="1"/>
  <c r="T348" i="40"/>
  <c r="P349" i="40" s="1"/>
  <c r="R349" i="40" l="1"/>
  <c r="T349" i="40" s="1"/>
  <c r="P350" i="40" s="1"/>
  <c r="R350" i="40" l="1"/>
  <c r="T350" i="40" s="1"/>
  <c r="P351" i="40" s="1"/>
  <c r="R351" i="40" l="1"/>
  <c r="T351" i="40" s="1"/>
  <c r="P352" i="40" s="1"/>
  <c r="R352" i="40" l="1"/>
  <c r="T352" i="40"/>
  <c r="P353" i="40" s="1"/>
  <c r="R353" i="40" l="1"/>
  <c r="T353" i="40" s="1"/>
  <c r="P354" i="40" s="1"/>
  <c r="R354" i="40" l="1"/>
  <c r="T354" i="40" s="1"/>
  <c r="P355" i="40" s="1"/>
  <c r="R355" i="40" l="1"/>
  <c r="T355" i="40" s="1"/>
  <c r="P356" i="40" s="1"/>
  <c r="R356" i="40" l="1"/>
  <c r="T356" i="40" s="1"/>
  <c r="P357" i="40" s="1"/>
  <c r="S357" i="40" s="1"/>
  <c r="R357" i="40" l="1"/>
  <c r="T357" i="40" s="1"/>
  <c r="P358" i="40" s="1"/>
  <c r="R358" i="40" l="1"/>
  <c r="T358" i="40" s="1"/>
  <c r="P359" i="40" s="1"/>
  <c r="R359" i="40" l="1"/>
  <c r="T359" i="40" s="1"/>
  <c r="P360" i="40" s="1"/>
  <c r="R360" i="40" l="1"/>
  <c r="T360" i="40" s="1"/>
  <c r="P361" i="40" s="1"/>
  <c r="R361" i="40" l="1"/>
  <c r="T361" i="40" s="1"/>
  <c r="P362" i="40" s="1"/>
  <c r="R362" i="40" l="1"/>
  <c r="T362" i="40" s="1"/>
  <c r="P363" i="40" s="1"/>
  <c r="R363" i="40" l="1"/>
  <c r="T363" i="40" s="1"/>
  <c r="P364" i="40" s="1"/>
  <c r="R364" i="40" l="1"/>
  <c r="T364" i="40"/>
  <c r="P365" i="40" s="1"/>
  <c r="R365" i="40" l="1"/>
  <c r="T365" i="40" s="1"/>
  <c r="P366" i="40" s="1"/>
  <c r="R366" i="40" l="1"/>
  <c r="T366" i="40" s="1"/>
  <c r="P367" i="40" s="1"/>
  <c r="R367" i="40" l="1"/>
  <c r="T367" i="40" s="1"/>
  <c r="P368" i="40" s="1"/>
  <c r="R368" i="40" l="1"/>
  <c r="T368" i="40" s="1"/>
  <c r="P369" i="40" s="1"/>
  <c r="R369" i="40" l="1"/>
  <c r="T369" i="40" s="1"/>
  <c r="P370" i="40" s="1"/>
  <c r="R370" i="40" l="1"/>
  <c r="T370" i="40"/>
  <c r="P371" i="40" s="1"/>
  <c r="R371" i="40" l="1"/>
  <c r="T371" i="40" s="1"/>
  <c r="P372" i="40" s="1"/>
  <c r="R372" i="40" l="1"/>
  <c r="T372" i="40" s="1"/>
  <c r="P373" i="40" s="1"/>
  <c r="R373" i="40" l="1"/>
  <c r="T373" i="40" s="1"/>
  <c r="P374" i="40" s="1"/>
  <c r="R374" i="40" l="1"/>
  <c r="T374" i="40" s="1"/>
  <c r="P375" i="40" s="1"/>
  <c r="R375" i="40" l="1"/>
  <c r="T375" i="40" s="1"/>
  <c r="P376" i="40" s="1"/>
  <c r="R376" i="40" l="1"/>
  <c r="T376" i="40" s="1"/>
  <c r="P377" i="40" s="1"/>
  <c r="R377" i="40" l="1"/>
  <c r="T377" i="40" s="1"/>
  <c r="P378" i="40" s="1"/>
  <c r="R378" i="40" l="1"/>
  <c r="T378" i="40" s="1"/>
  <c r="P379" i="40" s="1"/>
  <c r="R379" i="40" l="1"/>
  <c r="T379" i="40" s="1"/>
  <c r="P380" i="40" s="1"/>
  <c r="R380" i="40" l="1"/>
  <c r="T380" i="40" s="1"/>
  <c r="P381" i="40" s="1"/>
  <c r="R381" i="40" l="1"/>
  <c r="T381" i="40" s="1"/>
  <c r="P382" i="40" s="1"/>
  <c r="R382" i="40" l="1"/>
  <c r="T382" i="40" s="1"/>
  <c r="P383" i="40" s="1"/>
  <c r="R383" i="40" l="1"/>
  <c r="T383" i="40" s="1"/>
  <c r="P384" i="40" s="1"/>
  <c r="R384" i="40" l="1"/>
  <c r="T384" i="40" s="1"/>
  <c r="P385" i="40" s="1"/>
  <c r="R385" i="40" l="1"/>
  <c r="T385" i="40" s="1"/>
  <c r="P386" i="40" s="1"/>
  <c r="R386" i="40" l="1"/>
  <c r="T386" i="40" s="1"/>
  <c r="P387" i="40" s="1"/>
  <c r="S387" i="40" s="1"/>
  <c r="R387" i="40" l="1"/>
  <c r="T387" i="40" s="1"/>
  <c r="P388" i="40" s="1"/>
  <c r="R388" i="40" l="1"/>
  <c r="T388" i="40" s="1"/>
  <c r="P389" i="40" s="1"/>
  <c r="R389" i="40" l="1"/>
  <c r="T389" i="40" s="1"/>
  <c r="P390" i="40" s="1"/>
  <c r="R390" i="40" l="1"/>
  <c r="T390" i="40" s="1"/>
  <c r="P391" i="40" s="1"/>
  <c r="R391" i="40" l="1"/>
  <c r="T391" i="40" s="1"/>
  <c r="P392" i="40" s="1"/>
  <c r="R392" i="40" l="1"/>
  <c r="T392" i="40"/>
  <c r="P393" i="40" s="1"/>
  <c r="R393" i="40" l="1"/>
  <c r="T393" i="40" s="1"/>
  <c r="P394" i="40" s="1"/>
  <c r="R394" i="40" l="1"/>
  <c r="T394" i="40" s="1"/>
  <c r="P395" i="40" s="1"/>
  <c r="R395" i="40" l="1"/>
  <c r="T395" i="40" s="1"/>
  <c r="P396" i="40" s="1"/>
  <c r="R396" i="40" l="1"/>
  <c r="T396" i="40"/>
  <c r="P397" i="40" s="1"/>
  <c r="R397" i="40" l="1"/>
  <c r="T397" i="40" s="1"/>
  <c r="P398" i="40" s="1"/>
  <c r="R398" i="40" l="1"/>
  <c r="T398" i="40" s="1"/>
  <c r="P399" i="40" s="1"/>
  <c r="R399" i="40" l="1"/>
  <c r="T399" i="40" s="1"/>
  <c r="P400" i="40" s="1"/>
  <c r="R400" i="40" l="1"/>
  <c r="T400" i="40"/>
  <c r="P401" i="40" s="1"/>
  <c r="R401" i="40" l="1"/>
  <c r="T401" i="40" s="1"/>
  <c r="P402" i="40" s="1"/>
  <c r="R402" i="40" l="1"/>
  <c r="T402" i="40" s="1"/>
  <c r="P403" i="40" s="1"/>
  <c r="R403" i="40" l="1"/>
  <c r="T403" i="40" s="1"/>
  <c r="P404" i="40" s="1"/>
  <c r="R404" i="40" l="1"/>
  <c r="T404" i="40" s="1"/>
  <c r="P405" i="40" s="1"/>
  <c r="R405" i="40" l="1"/>
  <c r="T405" i="40" s="1"/>
  <c r="P406" i="40" s="1"/>
  <c r="R406" i="40" l="1"/>
  <c r="T406" i="40" s="1"/>
  <c r="P407" i="40" s="1"/>
  <c r="R407" i="40" l="1"/>
  <c r="T407" i="40" s="1"/>
  <c r="P408" i="40" s="1"/>
  <c r="R408" i="40" l="1"/>
  <c r="T408" i="40" s="1"/>
  <c r="P409" i="40" s="1"/>
  <c r="R409" i="40" l="1"/>
  <c r="T409" i="40" s="1"/>
  <c r="P410" i="40" s="1"/>
  <c r="R410" i="40" l="1"/>
  <c r="T410" i="40" s="1"/>
  <c r="P411" i="40" s="1"/>
  <c r="R411" i="40" l="1"/>
  <c r="T411" i="40" s="1"/>
  <c r="P412" i="40" s="1"/>
  <c r="R412" i="40" l="1"/>
  <c r="T412" i="40" s="1"/>
  <c r="P413" i="40" s="1"/>
  <c r="R413" i="40" l="1"/>
  <c r="T413" i="40" s="1"/>
  <c r="P414" i="40" s="1"/>
  <c r="R414" i="40" l="1"/>
  <c r="T414" i="40" s="1"/>
  <c r="P415" i="40" s="1"/>
  <c r="R415" i="40" l="1"/>
  <c r="T415" i="40" s="1"/>
  <c r="P416" i="40" s="1"/>
  <c r="R416" i="40" l="1"/>
  <c r="T416" i="40" s="1"/>
  <c r="P417" i="40" s="1"/>
  <c r="R417" i="40" l="1"/>
  <c r="T417" i="40" s="1"/>
  <c r="P418" i="40" s="1"/>
  <c r="R418" i="40" l="1"/>
  <c r="S418" i="40" l="1"/>
  <c r="T418" i="40" l="1"/>
  <c r="S444" i="40"/>
  <c r="I122" i="1" s="1"/>
  <c r="P419" i="40" l="1"/>
  <c r="R419" i="40" s="1"/>
  <c r="I123" i="1"/>
  <c r="E22" i="44"/>
  <c r="T419" i="40" l="1"/>
  <c r="P420" i="40" s="1"/>
  <c r="E33" i="44"/>
  <c r="R420" i="40" l="1"/>
  <c r="T420" i="40"/>
  <c r="P421" i="40" s="1"/>
  <c r="R421" i="40" s="1"/>
  <c r="T421" i="40" s="1"/>
  <c r="P422" i="40" s="1"/>
  <c r="F33" i="44"/>
  <c r="R422" i="40" l="1"/>
  <c r="T422" i="40"/>
  <c r="P423" i="40" s="1"/>
  <c r="G33" i="44"/>
  <c r="R423" i="40" l="1"/>
  <c r="T423" i="40" s="1"/>
  <c r="P424" i="40" s="1"/>
  <c r="R424" i="40" l="1"/>
  <c r="T424" i="40"/>
  <c r="P425" i="40" s="1"/>
  <c r="R425" i="40" l="1"/>
  <c r="T425" i="40"/>
  <c r="P426" i="40" s="1"/>
  <c r="R426" i="40" l="1"/>
  <c r="T426" i="40"/>
  <c r="P427" i="40" s="1"/>
  <c r="R427" i="40" l="1"/>
  <c r="T427" i="40"/>
  <c r="P428" i="40" s="1"/>
  <c r="R428" i="40" l="1"/>
  <c r="T428" i="40"/>
  <c r="P429" i="40" s="1"/>
  <c r="R429" i="40" l="1"/>
  <c r="T429" i="40"/>
  <c r="P430" i="40" s="1"/>
  <c r="R430" i="40" l="1"/>
  <c r="T430" i="40"/>
  <c r="P431" i="40" s="1"/>
  <c r="R431" i="40" l="1"/>
  <c r="T431" i="40"/>
  <c r="P432" i="40" s="1"/>
  <c r="R432" i="40" l="1"/>
  <c r="T432" i="40"/>
  <c r="P433" i="40" s="1"/>
  <c r="R433" i="40" l="1"/>
  <c r="T433" i="40"/>
  <c r="P434" i="40" s="1"/>
  <c r="R434" i="40" l="1"/>
  <c r="T434" i="40"/>
  <c r="P435" i="40" s="1"/>
  <c r="R435" i="40" l="1"/>
  <c r="T435" i="40"/>
  <c r="P436" i="40" s="1"/>
  <c r="R436" i="40" l="1"/>
  <c r="T436" i="40"/>
  <c r="P437" i="40" s="1"/>
  <c r="R437" i="40" l="1"/>
  <c r="T437" i="40"/>
  <c r="P438" i="40" s="1"/>
  <c r="R438" i="40" l="1"/>
  <c r="T438" i="40"/>
  <c r="P439" i="40" s="1"/>
  <c r="R439" i="40" l="1"/>
  <c r="T439" i="40"/>
  <c r="P440" i="40" s="1"/>
  <c r="R440" i="40" l="1"/>
  <c r="T440" i="40"/>
  <c r="P441" i="40" s="1"/>
  <c r="R441" i="40" l="1"/>
  <c r="T441" i="40"/>
  <c r="P442" i="40" s="1"/>
  <c r="R442" i="40" l="1"/>
  <c r="R445" i="40" s="1"/>
  <c r="I119" i="1" s="1"/>
  <c r="T442" i="40"/>
  <c r="P443" i="40" s="1"/>
  <c r="R443" i="40" s="1"/>
  <c r="T443" i="40" l="1"/>
  <c r="K446" i="40"/>
  <c r="E13" i="44"/>
  <c r="I120" i="1"/>
  <c r="I125" i="1" s="1"/>
  <c r="E16" i="44" l="1"/>
  <c r="E31" i="44" l="1"/>
  <c r="E25" i="44"/>
  <c r="F25" i="44" s="1"/>
  <c r="G16" i="44"/>
  <c r="F16" i="44"/>
  <c r="F31" i="44" s="1"/>
  <c r="G31" i="44" l="1"/>
  <c r="F34" i="44"/>
  <c r="F35" i="44" s="1"/>
  <c r="F37" i="44" s="1"/>
  <c r="E34" i="44"/>
  <c r="E35" i="44" s="1"/>
  <c r="E27" i="44"/>
  <c r="E37" i="44" l="1"/>
  <c r="G25" i="44"/>
  <c r="F27" i="44"/>
  <c r="G34" i="44" l="1"/>
  <c r="G35" i="44" s="1"/>
  <c r="G37" i="44" s="1"/>
  <c r="G27" i="44"/>
  <c r="B36" i="7" l="1"/>
  <c r="F33" i="1" s="1"/>
  <c r="H33" i="1" l="1"/>
  <c r="F65" i="1"/>
  <c r="H65" i="1" s="1"/>
  <c r="H83" i="1" l="1"/>
  <c r="F83" i="1"/>
  <c r="D65" i="1" l="1"/>
  <c r="D83" i="1" s="1"/>
  <c r="D84" i="1" s="1"/>
  <c r="H455" i="7"/>
  <c r="I455" i="7" s="1"/>
  <c r="J98" i="1"/>
  <c r="K98" i="1"/>
  <c r="E12" i="43"/>
  <c r="I86" i="1"/>
  <c r="E88" i="40" s="1"/>
  <c r="E65" i="1" l="1"/>
  <c r="E83" i="1" s="1"/>
  <c r="E445" i="40"/>
  <c r="F88" i="40"/>
  <c r="B89" i="40" s="1"/>
  <c r="J88" i="40"/>
  <c r="K86" i="1"/>
  <c r="F89" i="42"/>
  <c r="I12" i="43"/>
  <c r="J12" i="43" s="1"/>
  <c r="I88" i="1"/>
  <c r="K88" i="1" s="1"/>
  <c r="J445" i="40" l="1"/>
  <c r="M88" i="40"/>
  <c r="I89" i="40" s="1"/>
  <c r="F91" i="42"/>
  <c r="J89" i="42"/>
  <c r="K89" i="42" s="1"/>
  <c r="D89" i="40"/>
  <c r="F89" i="40" s="1"/>
  <c r="B90" i="40" s="1"/>
  <c r="D90" i="40" l="1"/>
  <c r="F90" i="40" s="1"/>
  <c r="B91" i="40" s="1"/>
  <c r="K89" i="40"/>
  <c r="M89" i="40" s="1"/>
  <c r="I90" i="40" s="1"/>
  <c r="J91" i="42"/>
  <c r="K91" i="42" s="1"/>
  <c r="F99" i="42"/>
  <c r="G91" i="42"/>
  <c r="G99" i="42" s="1"/>
  <c r="D91" i="40" l="1"/>
  <c r="K90" i="40"/>
  <c r="M90" i="40" s="1"/>
  <c r="I91" i="40" s="1"/>
  <c r="H91" i="42"/>
  <c r="H99" i="42" s="1"/>
  <c r="K91" i="40" l="1"/>
  <c r="M91" i="40" s="1"/>
  <c r="I92" i="40" s="1"/>
  <c r="F91" i="40"/>
  <c r="B92" i="40" s="1"/>
  <c r="K92" i="40" l="1"/>
  <c r="M92" i="40"/>
  <c r="I93" i="40" s="1"/>
  <c r="D92" i="40"/>
  <c r="F92" i="40"/>
  <c r="B93" i="40" s="1"/>
  <c r="D93" i="40" l="1"/>
  <c r="F93" i="40" s="1"/>
  <c r="B94" i="40" s="1"/>
  <c r="K93" i="40"/>
  <c r="M93" i="40" s="1"/>
  <c r="I94" i="40" s="1"/>
  <c r="K94" i="40" l="1"/>
  <c r="M94" i="40" s="1"/>
  <c r="I95" i="40" s="1"/>
  <c r="D94" i="40"/>
  <c r="F94" i="40" s="1"/>
  <c r="B95" i="40" s="1"/>
  <c r="D95" i="40" l="1"/>
  <c r="F95" i="40" s="1"/>
  <c r="B96" i="40" s="1"/>
  <c r="K95" i="40"/>
  <c r="M95" i="40" s="1"/>
  <c r="I96" i="40" s="1"/>
  <c r="K96" i="40" l="1"/>
  <c r="M96" i="40" s="1"/>
  <c r="I97" i="40" s="1"/>
  <c r="D96" i="40"/>
  <c r="F96" i="40" s="1"/>
  <c r="B97" i="40" s="1"/>
  <c r="D97" i="40" l="1"/>
  <c r="F97" i="40" s="1"/>
  <c r="B98" i="40" s="1"/>
  <c r="K97" i="40"/>
  <c r="M97" i="40" s="1"/>
  <c r="I98" i="40" s="1"/>
  <c r="K98" i="40" l="1"/>
  <c r="M98" i="40" s="1"/>
  <c r="I99" i="40" s="1"/>
  <c r="D98" i="40"/>
  <c r="F98" i="40" s="1"/>
  <c r="B99" i="40" s="1"/>
  <c r="D99" i="40" l="1"/>
  <c r="F99" i="40"/>
  <c r="B100" i="40" s="1"/>
  <c r="K99" i="40"/>
  <c r="M99" i="40" s="1"/>
  <c r="I100" i="40" s="1"/>
  <c r="K100" i="40" l="1"/>
  <c r="M100" i="40" s="1"/>
  <c r="I101" i="40" s="1"/>
  <c r="D100" i="40"/>
  <c r="F100" i="40" s="1"/>
  <c r="B101" i="40" s="1"/>
  <c r="K101" i="40" l="1"/>
  <c r="M101" i="40" s="1"/>
  <c r="I102" i="40" s="1"/>
  <c r="D101" i="40"/>
  <c r="F101" i="40" s="1"/>
  <c r="B102" i="40" s="1"/>
  <c r="D102" i="40" l="1"/>
  <c r="F102" i="40" s="1"/>
  <c r="B103" i="40" s="1"/>
  <c r="K102" i="40"/>
  <c r="M102" i="40" s="1"/>
  <c r="I103" i="40" s="1"/>
  <c r="K103" i="40" l="1"/>
  <c r="M103" i="40" s="1"/>
  <c r="I104" i="40" s="1"/>
  <c r="D103" i="40"/>
  <c r="F103" i="40" s="1"/>
  <c r="B104" i="40" s="1"/>
  <c r="D104" i="40" l="1"/>
  <c r="F104" i="40" s="1"/>
  <c r="B105" i="40" s="1"/>
  <c r="K104" i="40"/>
  <c r="M104" i="40" s="1"/>
  <c r="I105" i="40" s="1"/>
  <c r="K105" i="40" l="1"/>
  <c r="M105" i="40" s="1"/>
  <c r="I106" i="40" s="1"/>
  <c r="D105" i="40"/>
  <c r="F105" i="40" s="1"/>
  <c r="B106" i="40" s="1"/>
  <c r="K106" i="40" l="1"/>
  <c r="M106" i="40"/>
  <c r="I107" i="40" s="1"/>
  <c r="D106" i="40"/>
  <c r="F106" i="40" s="1"/>
  <c r="B107" i="40" s="1"/>
  <c r="D107" i="40" l="1"/>
  <c r="F107" i="40" s="1"/>
  <c r="B108" i="40" s="1"/>
  <c r="K107" i="40"/>
  <c r="M107" i="40" s="1"/>
  <c r="I108" i="40" s="1"/>
  <c r="K108" i="40" l="1"/>
  <c r="M108" i="40" s="1"/>
  <c r="I109" i="40" s="1"/>
  <c r="D108" i="40"/>
  <c r="F108" i="40" s="1"/>
  <c r="B109" i="40" s="1"/>
  <c r="D109" i="40" l="1"/>
  <c r="F109" i="40" s="1"/>
  <c r="B110" i="40" s="1"/>
  <c r="K109" i="40"/>
  <c r="M109" i="40" s="1"/>
  <c r="I110" i="40" s="1"/>
  <c r="K110" i="40" l="1"/>
  <c r="M110" i="40"/>
  <c r="I111" i="40" s="1"/>
  <c r="D110" i="40"/>
  <c r="F110" i="40" s="1"/>
  <c r="B111" i="40" s="1"/>
  <c r="K111" i="40" l="1"/>
  <c r="M111" i="40" s="1"/>
  <c r="I112" i="40" s="1"/>
  <c r="D111" i="40"/>
  <c r="F111" i="40" s="1"/>
  <c r="B112" i="40" s="1"/>
  <c r="D112" i="40" l="1"/>
  <c r="F112" i="40" s="1"/>
  <c r="B113" i="40" s="1"/>
  <c r="K112" i="40"/>
  <c r="M112" i="40" s="1"/>
  <c r="I113" i="40" s="1"/>
  <c r="K113" i="40" l="1"/>
  <c r="M113" i="40" s="1"/>
  <c r="I114" i="40" s="1"/>
  <c r="D113" i="40"/>
  <c r="F113" i="40" s="1"/>
  <c r="B114" i="40" s="1"/>
  <c r="D114" i="40" l="1"/>
  <c r="F114" i="40" s="1"/>
  <c r="B115" i="40" s="1"/>
  <c r="K114" i="40"/>
  <c r="M114" i="40"/>
  <c r="I115" i="40" s="1"/>
  <c r="K115" i="40" l="1"/>
  <c r="M115" i="40" s="1"/>
  <c r="I116" i="40" s="1"/>
  <c r="D115" i="40"/>
  <c r="F115" i="40" s="1"/>
  <c r="B116" i="40" s="1"/>
  <c r="D116" i="40" l="1"/>
  <c r="F116" i="40" s="1"/>
  <c r="B117" i="40" s="1"/>
  <c r="K116" i="40"/>
  <c r="M116" i="40" s="1"/>
  <c r="I117" i="40" s="1"/>
  <c r="K117" i="40" l="1"/>
  <c r="M117" i="40" s="1"/>
  <c r="I118" i="40" s="1"/>
  <c r="D117" i="40"/>
  <c r="F117" i="40" s="1"/>
  <c r="B118" i="40" s="1"/>
  <c r="D118" i="40" l="1"/>
  <c r="F118" i="40" s="1"/>
  <c r="B119" i="40" s="1"/>
  <c r="K118" i="40"/>
  <c r="M118" i="40" s="1"/>
  <c r="I119" i="40" s="1"/>
  <c r="K119" i="40" l="1"/>
  <c r="M119" i="40" s="1"/>
  <c r="I120" i="40" s="1"/>
  <c r="D119" i="40"/>
  <c r="F119" i="40" s="1"/>
  <c r="B120" i="40" s="1"/>
  <c r="D120" i="40" l="1"/>
  <c r="F120" i="40" s="1"/>
  <c r="B121" i="40" s="1"/>
  <c r="K120" i="40"/>
  <c r="M120" i="40" s="1"/>
  <c r="I121" i="40" s="1"/>
  <c r="K121" i="40" l="1"/>
  <c r="M121" i="40" s="1"/>
  <c r="I122" i="40" s="1"/>
  <c r="D121" i="40"/>
  <c r="F121" i="40" s="1"/>
  <c r="B122" i="40" s="1"/>
  <c r="D122" i="40" l="1"/>
  <c r="F122" i="40" s="1"/>
  <c r="B123" i="40" s="1"/>
  <c r="K122" i="40"/>
  <c r="M122" i="40"/>
  <c r="I123" i="40" s="1"/>
  <c r="K123" i="40" l="1"/>
  <c r="M123" i="40" s="1"/>
  <c r="I124" i="40" s="1"/>
  <c r="D123" i="40"/>
  <c r="F123" i="40" s="1"/>
  <c r="B124" i="40" s="1"/>
  <c r="D124" i="40" l="1"/>
  <c r="F124" i="40" s="1"/>
  <c r="B125" i="40" s="1"/>
  <c r="K124" i="40"/>
  <c r="M124" i="40" s="1"/>
  <c r="I125" i="40" s="1"/>
  <c r="K125" i="40" l="1"/>
  <c r="M125" i="40" s="1"/>
  <c r="I126" i="40" s="1"/>
  <c r="D125" i="40"/>
  <c r="F125" i="40" s="1"/>
  <c r="B126" i="40" s="1"/>
  <c r="D126" i="40" l="1"/>
  <c r="F126" i="40" s="1"/>
  <c r="B127" i="40" s="1"/>
  <c r="K126" i="40"/>
  <c r="M126" i="40"/>
  <c r="I127" i="40" s="1"/>
  <c r="K127" i="40" l="1"/>
  <c r="M127" i="40" s="1"/>
  <c r="I128" i="40" s="1"/>
  <c r="D127" i="40"/>
  <c r="F127" i="40" s="1"/>
  <c r="B128" i="40" s="1"/>
  <c r="D128" i="40" l="1"/>
  <c r="F128" i="40" s="1"/>
  <c r="B129" i="40" s="1"/>
  <c r="K128" i="40"/>
  <c r="M128" i="40" s="1"/>
  <c r="I129" i="40" s="1"/>
  <c r="K129" i="40" l="1"/>
  <c r="M129" i="40" s="1"/>
  <c r="I130" i="40" s="1"/>
  <c r="D129" i="40"/>
  <c r="F129" i="40" s="1"/>
  <c r="B130" i="40" s="1"/>
  <c r="D130" i="40" l="1"/>
  <c r="F130" i="40" s="1"/>
  <c r="B131" i="40" s="1"/>
  <c r="K130" i="40"/>
  <c r="M130" i="40"/>
  <c r="I131" i="40" s="1"/>
  <c r="K131" i="40" l="1"/>
  <c r="M131" i="40" s="1"/>
  <c r="I132" i="40" s="1"/>
  <c r="D131" i="40"/>
  <c r="F131" i="40" s="1"/>
  <c r="B132" i="40" s="1"/>
  <c r="D132" i="40" l="1"/>
  <c r="F132" i="40" s="1"/>
  <c r="B133" i="40" s="1"/>
  <c r="K132" i="40"/>
  <c r="M132" i="40" s="1"/>
  <c r="I133" i="40" s="1"/>
  <c r="K133" i="40" l="1"/>
  <c r="M133" i="40" s="1"/>
  <c r="I134" i="40" s="1"/>
  <c r="D133" i="40"/>
  <c r="F133" i="40" s="1"/>
  <c r="B134" i="40" s="1"/>
  <c r="D134" i="40" l="1"/>
  <c r="F134" i="40" s="1"/>
  <c r="B135" i="40" s="1"/>
  <c r="K134" i="40"/>
  <c r="M134" i="40" s="1"/>
  <c r="I135" i="40" s="1"/>
  <c r="K135" i="40" l="1"/>
  <c r="M135" i="40" s="1"/>
  <c r="I136" i="40" s="1"/>
  <c r="D135" i="40"/>
  <c r="F135" i="40" s="1"/>
  <c r="B136" i="40" s="1"/>
  <c r="D136" i="40" l="1"/>
  <c r="F136" i="40" s="1"/>
  <c r="B137" i="40" s="1"/>
  <c r="K136" i="40"/>
  <c r="M136" i="40" s="1"/>
  <c r="I137" i="40" s="1"/>
  <c r="K137" i="40" l="1"/>
  <c r="M137" i="40" s="1"/>
  <c r="I138" i="40" s="1"/>
  <c r="D137" i="40"/>
  <c r="F137" i="40" s="1"/>
  <c r="B138" i="40" s="1"/>
  <c r="D138" i="40" l="1"/>
  <c r="F138" i="40" s="1"/>
  <c r="B139" i="40" s="1"/>
  <c r="K138" i="40"/>
  <c r="M138" i="40"/>
  <c r="I139" i="40" s="1"/>
  <c r="K139" i="40" l="1"/>
  <c r="M139" i="40" s="1"/>
  <c r="I140" i="40" s="1"/>
  <c r="D139" i="40"/>
  <c r="F139" i="40" s="1"/>
  <c r="B140" i="40" s="1"/>
  <c r="D140" i="40" l="1"/>
  <c r="F140" i="40" s="1"/>
  <c r="B141" i="40" s="1"/>
  <c r="K140" i="40"/>
  <c r="M140" i="40" s="1"/>
  <c r="I141" i="40" s="1"/>
  <c r="K141" i="40" l="1"/>
  <c r="M141" i="40" s="1"/>
  <c r="I142" i="40" s="1"/>
  <c r="D141" i="40"/>
  <c r="F141" i="40" s="1"/>
  <c r="B142" i="40" s="1"/>
  <c r="D142" i="40" l="1"/>
  <c r="F142" i="40" s="1"/>
  <c r="B143" i="40" s="1"/>
  <c r="K142" i="40"/>
  <c r="M142" i="40"/>
  <c r="I143" i="40" s="1"/>
  <c r="K143" i="40" l="1"/>
  <c r="M143" i="40" s="1"/>
  <c r="I144" i="40" s="1"/>
  <c r="D143" i="40"/>
  <c r="F143" i="40" s="1"/>
  <c r="B144" i="40" s="1"/>
  <c r="D144" i="40" l="1"/>
  <c r="F144" i="40" s="1"/>
  <c r="B145" i="40" s="1"/>
  <c r="K144" i="40"/>
  <c r="M144" i="40" s="1"/>
  <c r="I145" i="40" s="1"/>
  <c r="K145" i="40" l="1"/>
  <c r="M145" i="40" s="1"/>
  <c r="I146" i="40" s="1"/>
  <c r="D145" i="40"/>
  <c r="F145" i="40" s="1"/>
  <c r="B146" i="40" s="1"/>
  <c r="D146" i="40" l="1"/>
  <c r="F146" i="40" s="1"/>
  <c r="B147" i="40" s="1"/>
  <c r="K146" i="40"/>
  <c r="M146" i="40"/>
  <c r="I147" i="40" s="1"/>
  <c r="K147" i="40" l="1"/>
  <c r="M147" i="40" s="1"/>
  <c r="I148" i="40" s="1"/>
  <c r="D147" i="40"/>
  <c r="F147" i="40" s="1"/>
  <c r="B148" i="40" s="1"/>
  <c r="D148" i="40" l="1"/>
  <c r="F148" i="40" s="1"/>
  <c r="B149" i="40" s="1"/>
  <c r="K148" i="40"/>
  <c r="M148" i="40" s="1"/>
  <c r="I149" i="40" s="1"/>
  <c r="K149" i="40" l="1"/>
  <c r="M149" i="40" s="1"/>
  <c r="I150" i="40" s="1"/>
  <c r="D149" i="40"/>
  <c r="F149" i="40" s="1"/>
  <c r="B150" i="40" s="1"/>
  <c r="D150" i="40" l="1"/>
  <c r="F150" i="40" s="1"/>
  <c r="B151" i="40" s="1"/>
  <c r="K150" i="40"/>
  <c r="M150" i="40" s="1"/>
  <c r="I151" i="40" s="1"/>
  <c r="K151" i="40" l="1"/>
  <c r="M151" i="40" s="1"/>
  <c r="I152" i="40" s="1"/>
  <c r="D151" i="40"/>
  <c r="F151" i="40" s="1"/>
  <c r="B152" i="40" s="1"/>
  <c r="D152" i="40" l="1"/>
  <c r="F152" i="40" s="1"/>
  <c r="B153" i="40" s="1"/>
  <c r="K152" i="40"/>
  <c r="M152" i="40" s="1"/>
  <c r="I153" i="40" s="1"/>
  <c r="K153" i="40" l="1"/>
  <c r="M153" i="40" s="1"/>
  <c r="I154" i="40" s="1"/>
  <c r="D153" i="40"/>
  <c r="F153" i="40" s="1"/>
  <c r="B154" i="40" s="1"/>
  <c r="D154" i="40" l="1"/>
  <c r="F154" i="40"/>
  <c r="B155" i="40" s="1"/>
  <c r="K154" i="40"/>
  <c r="M154" i="40" s="1"/>
  <c r="I155" i="40" s="1"/>
  <c r="D155" i="40" l="1"/>
  <c r="F155" i="40" s="1"/>
  <c r="B156" i="40" s="1"/>
  <c r="K155" i="40"/>
  <c r="M155" i="40" s="1"/>
  <c r="I156" i="40" s="1"/>
  <c r="K156" i="40" l="1"/>
  <c r="M156" i="40" s="1"/>
  <c r="I157" i="40" s="1"/>
  <c r="D156" i="40"/>
  <c r="F156" i="40" s="1"/>
  <c r="B157" i="40" s="1"/>
  <c r="D157" i="40" l="1"/>
  <c r="F157" i="40" s="1"/>
  <c r="B158" i="40" s="1"/>
  <c r="K157" i="40"/>
  <c r="M157" i="40" s="1"/>
  <c r="I158" i="40" s="1"/>
  <c r="K158" i="40" l="1"/>
  <c r="M158" i="40"/>
  <c r="I159" i="40" s="1"/>
  <c r="D158" i="40"/>
  <c r="F158" i="40" s="1"/>
  <c r="B159" i="40" s="1"/>
  <c r="D159" i="40" l="1"/>
  <c r="F159" i="40" s="1"/>
  <c r="B160" i="40" s="1"/>
  <c r="K159" i="40"/>
  <c r="M159" i="40" s="1"/>
  <c r="I160" i="40" s="1"/>
  <c r="K160" i="40" l="1"/>
  <c r="M160" i="40" s="1"/>
  <c r="I161" i="40" s="1"/>
  <c r="D160" i="40"/>
  <c r="F160" i="40" s="1"/>
  <c r="B161" i="40" s="1"/>
  <c r="K161" i="40" l="1"/>
  <c r="M161" i="40" s="1"/>
  <c r="I162" i="40" s="1"/>
  <c r="D161" i="40"/>
  <c r="F161" i="40" s="1"/>
  <c r="B162" i="40" s="1"/>
  <c r="D162" i="40" l="1"/>
  <c r="F162" i="40" s="1"/>
  <c r="B163" i="40" s="1"/>
  <c r="K162" i="40"/>
  <c r="M162" i="40"/>
  <c r="I163" i="40" s="1"/>
  <c r="K163" i="40" l="1"/>
  <c r="M163" i="40" s="1"/>
  <c r="I164" i="40" s="1"/>
  <c r="D163" i="40"/>
  <c r="F163" i="40" s="1"/>
  <c r="B164" i="40" s="1"/>
  <c r="D164" i="40" l="1"/>
  <c r="F164" i="40" s="1"/>
  <c r="B165" i="40" s="1"/>
  <c r="K164" i="40"/>
  <c r="M164" i="40" s="1"/>
  <c r="I165" i="40" s="1"/>
  <c r="K165" i="40" l="1"/>
  <c r="M165" i="40" s="1"/>
  <c r="I166" i="40" s="1"/>
  <c r="D165" i="40"/>
  <c r="F165" i="40" s="1"/>
  <c r="B166" i="40" s="1"/>
  <c r="D166" i="40" l="1"/>
  <c r="F166" i="40" s="1"/>
  <c r="B167" i="40" s="1"/>
  <c r="K166" i="40"/>
  <c r="M166" i="40"/>
  <c r="I167" i="40" s="1"/>
  <c r="D167" i="40" l="1"/>
  <c r="F167" i="40" s="1"/>
  <c r="B168" i="40" s="1"/>
  <c r="K167" i="40"/>
  <c r="M167" i="40" s="1"/>
  <c r="I168" i="40" s="1"/>
  <c r="K168" i="40" l="1"/>
  <c r="M168" i="40" s="1"/>
  <c r="I169" i="40" s="1"/>
  <c r="D168" i="40"/>
  <c r="F168" i="40" s="1"/>
  <c r="B169" i="40" s="1"/>
  <c r="K169" i="40" l="1"/>
  <c r="M169" i="40" s="1"/>
  <c r="I170" i="40" s="1"/>
  <c r="D169" i="40"/>
  <c r="F169" i="40" s="1"/>
  <c r="B170" i="40" s="1"/>
  <c r="D170" i="40" l="1"/>
  <c r="F170" i="40" s="1"/>
  <c r="B171" i="40" s="1"/>
  <c r="K170" i="40"/>
  <c r="M170" i="40" s="1"/>
  <c r="I171" i="40" s="1"/>
  <c r="K171" i="40" l="1"/>
  <c r="M171" i="40" s="1"/>
  <c r="I172" i="40" s="1"/>
  <c r="D171" i="40"/>
  <c r="F171" i="40" s="1"/>
  <c r="B172" i="40" s="1"/>
  <c r="D172" i="40" l="1"/>
  <c r="F172" i="40" s="1"/>
  <c r="B173" i="40" s="1"/>
  <c r="K172" i="40"/>
  <c r="M172" i="40"/>
  <c r="I173" i="40" s="1"/>
  <c r="K173" i="40" l="1"/>
  <c r="M173" i="40" s="1"/>
  <c r="I174" i="40" s="1"/>
  <c r="D173" i="40"/>
  <c r="F173" i="40" s="1"/>
  <c r="B174" i="40" s="1"/>
  <c r="D174" i="40" l="1"/>
  <c r="F174" i="40" s="1"/>
  <c r="B175" i="40" s="1"/>
  <c r="K174" i="40"/>
  <c r="M174" i="40" s="1"/>
  <c r="I175" i="40" s="1"/>
  <c r="K175" i="40" l="1"/>
  <c r="M175" i="40" s="1"/>
  <c r="I176" i="40" s="1"/>
  <c r="D175" i="40"/>
  <c r="F175" i="40" s="1"/>
  <c r="B176" i="40" s="1"/>
  <c r="D176" i="40" l="1"/>
  <c r="F176" i="40" s="1"/>
  <c r="B177" i="40" s="1"/>
  <c r="K176" i="40"/>
  <c r="M176" i="40" s="1"/>
  <c r="I177" i="40" s="1"/>
  <c r="K177" i="40" l="1"/>
  <c r="M177" i="40" s="1"/>
  <c r="I178" i="40" s="1"/>
  <c r="D177" i="40"/>
  <c r="F177" i="40" s="1"/>
  <c r="B178" i="40" s="1"/>
  <c r="D178" i="40" l="1"/>
  <c r="F178" i="40" s="1"/>
  <c r="B179" i="40" s="1"/>
  <c r="K178" i="40"/>
  <c r="M178" i="40" s="1"/>
  <c r="I179" i="40" s="1"/>
  <c r="K179" i="40" l="1"/>
  <c r="M179" i="40" s="1"/>
  <c r="I180" i="40" s="1"/>
  <c r="D179" i="40"/>
  <c r="F179" i="40" s="1"/>
  <c r="B180" i="40" s="1"/>
  <c r="D180" i="40" l="1"/>
  <c r="F180" i="40" s="1"/>
  <c r="B181" i="40" s="1"/>
  <c r="K180" i="40"/>
  <c r="M180" i="40"/>
  <c r="I181" i="40" s="1"/>
  <c r="D181" i="40" l="1"/>
  <c r="F181" i="40" s="1"/>
  <c r="B182" i="40" s="1"/>
  <c r="K181" i="40"/>
  <c r="M181" i="40" s="1"/>
  <c r="I182" i="40" s="1"/>
  <c r="K182" i="40" l="1"/>
  <c r="M182" i="40" s="1"/>
  <c r="I183" i="40" s="1"/>
  <c r="D182" i="40"/>
  <c r="F182" i="40" s="1"/>
  <c r="B183" i="40" s="1"/>
  <c r="D183" i="40" l="1"/>
  <c r="F183" i="40" s="1"/>
  <c r="B184" i="40" s="1"/>
  <c r="K183" i="40"/>
  <c r="M183" i="40" s="1"/>
  <c r="I184" i="40" s="1"/>
  <c r="K184" i="40" l="1"/>
  <c r="M184" i="40" s="1"/>
  <c r="I185" i="40" s="1"/>
  <c r="D184" i="40"/>
  <c r="F184" i="40" s="1"/>
  <c r="B185" i="40" s="1"/>
  <c r="K185" i="40" l="1"/>
  <c r="M185" i="40" s="1"/>
  <c r="I186" i="40" s="1"/>
  <c r="D185" i="40"/>
  <c r="F185" i="40" s="1"/>
  <c r="B186" i="40" s="1"/>
  <c r="D186" i="40" l="1"/>
  <c r="F186" i="40" s="1"/>
  <c r="B187" i="40" s="1"/>
  <c r="K186" i="40"/>
  <c r="M186" i="40" s="1"/>
  <c r="I187" i="40" s="1"/>
  <c r="K187" i="40" l="1"/>
  <c r="M187" i="40" s="1"/>
  <c r="I188" i="40" s="1"/>
  <c r="D187" i="40"/>
  <c r="F187" i="40" s="1"/>
  <c r="B188" i="40" s="1"/>
  <c r="D188" i="40" l="1"/>
  <c r="F188" i="40" s="1"/>
  <c r="B189" i="40" s="1"/>
  <c r="K188" i="40"/>
  <c r="M188" i="40"/>
  <c r="I189" i="40" s="1"/>
  <c r="K189" i="40" l="1"/>
  <c r="M189" i="40" s="1"/>
  <c r="I190" i="40" s="1"/>
  <c r="D189" i="40"/>
  <c r="F189" i="40" s="1"/>
  <c r="B190" i="40" s="1"/>
  <c r="D190" i="40" l="1"/>
  <c r="F190" i="40" s="1"/>
  <c r="B191" i="40" s="1"/>
  <c r="K190" i="40"/>
  <c r="M190" i="40" s="1"/>
  <c r="I191" i="40" s="1"/>
  <c r="K191" i="40" l="1"/>
  <c r="M191" i="40" s="1"/>
  <c r="I192" i="40" s="1"/>
  <c r="D191" i="40"/>
  <c r="F191" i="40" s="1"/>
  <c r="B192" i="40" s="1"/>
  <c r="D192" i="40" l="1"/>
  <c r="F192" i="40" s="1"/>
  <c r="B193" i="40" s="1"/>
  <c r="K192" i="40"/>
  <c r="M192" i="40" s="1"/>
  <c r="I193" i="40" s="1"/>
  <c r="K193" i="40" l="1"/>
  <c r="M193" i="40" s="1"/>
  <c r="I194" i="40" s="1"/>
  <c r="D193" i="40"/>
  <c r="F193" i="40" s="1"/>
  <c r="B194" i="40" s="1"/>
  <c r="D194" i="40" l="1"/>
  <c r="F194" i="40" s="1"/>
  <c r="B195" i="40" s="1"/>
  <c r="K194" i="40"/>
  <c r="M194" i="40" s="1"/>
  <c r="I195" i="40" s="1"/>
  <c r="K195" i="40" l="1"/>
  <c r="M195" i="40" s="1"/>
  <c r="I196" i="40" s="1"/>
  <c r="D195" i="40"/>
  <c r="F195" i="40" s="1"/>
  <c r="B196" i="40" s="1"/>
  <c r="D196" i="40" l="1"/>
  <c r="F196" i="40" s="1"/>
  <c r="B197" i="40" s="1"/>
  <c r="K196" i="40"/>
  <c r="M196" i="40" s="1"/>
  <c r="I197" i="40" s="1"/>
  <c r="K197" i="40" l="1"/>
  <c r="M197" i="40" s="1"/>
  <c r="I198" i="40" s="1"/>
  <c r="D197" i="40"/>
  <c r="F197" i="40" s="1"/>
  <c r="B198" i="40" s="1"/>
  <c r="D198" i="40" l="1"/>
  <c r="F198" i="40" s="1"/>
  <c r="B199" i="40" s="1"/>
  <c r="K198" i="40"/>
  <c r="M198" i="40" s="1"/>
  <c r="I199" i="40" s="1"/>
  <c r="K199" i="40" l="1"/>
  <c r="M199" i="40" s="1"/>
  <c r="I200" i="40" s="1"/>
  <c r="D199" i="40"/>
  <c r="F199" i="40" s="1"/>
  <c r="B200" i="40" s="1"/>
  <c r="D200" i="40" l="1"/>
  <c r="F200" i="40" s="1"/>
  <c r="B201" i="40" s="1"/>
  <c r="K200" i="40"/>
  <c r="M200" i="40"/>
  <c r="I201" i="40" s="1"/>
  <c r="D201" i="40" l="1"/>
  <c r="F201" i="40" s="1"/>
  <c r="B202" i="40" s="1"/>
  <c r="K201" i="40"/>
  <c r="M201" i="40" s="1"/>
  <c r="I202" i="40" s="1"/>
  <c r="K202" i="40" l="1"/>
  <c r="M202" i="40" s="1"/>
  <c r="I203" i="40" s="1"/>
  <c r="D202" i="40"/>
  <c r="F202" i="40" s="1"/>
  <c r="B203" i="40" s="1"/>
  <c r="D203" i="40" l="1"/>
  <c r="F203" i="40" s="1"/>
  <c r="B204" i="40" s="1"/>
  <c r="K203" i="40"/>
  <c r="M203" i="40" s="1"/>
  <c r="I204" i="40" s="1"/>
  <c r="K204" i="40" l="1"/>
  <c r="M204" i="40" s="1"/>
  <c r="I205" i="40" s="1"/>
  <c r="D204" i="40"/>
  <c r="F204" i="40" s="1"/>
  <c r="B205" i="40" s="1"/>
  <c r="K205" i="40" l="1"/>
  <c r="M205" i="40" s="1"/>
  <c r="I206" i="40" s="1"/>
  <c r="D205" i="40"/>
  <c r="F205" i="40" s="1"/>
  <c r="B206" i="40" s="1"/>
  <c r="D206" i="40" l="1"/>
  <c r="F206" i="40" s="1"/>
  <c r="B207" i="40" s="1"/>
  <c r="K206" i="40"/>
  <c r="M206" i="40" s="1"/>
  <c r="I207" i="40" s="1"/>
  <c r="K207" i="40" l="1"/>
  <c r="M207" i="40" s="1"/>
  <c r="I208" i="40" s="1"/>
  <c r="D207" i="40"/>
  <c r="F207" i="40" s="1"/>
  <c r="B208" i="40" s="1"/>
  <c r="D208" i="40" l="1"/>
  <c r="F208" i="40" s="1"/>
  <c r="B209" i="40" s="1"/>
  <c r="K208" i="40"/>
  <c r="M208" i="40"/>
  <c r="I209" i="40" s="1"/>
  <c r="D209" i="40" l="1"/>
  <c r="F209" i="40" s="1"/>
  <c r="B210" i="40" s="1"/>
  <c r="K209" i="40"/>
  <c r="M209" i="40" s="1"/>
  <c r="I210" i="40" s="1"/>
  <c r="K210" i="40" l="1"/>
  <c r="M210" i="40" s="1"/>
  <c r="I211" i="40" s="1"/>
  <c r="D210" i="40"/>
  <c r="F210" i="40" s="1"/>
  <c r="B211" i="40" s="1"/>
  <c r="D211" i="40" l="1"/>
  <c r="F211" i="40" s="1"/>
  <c r="B212" i="40" s="1"/>
  <c r="K211" i="40"/>
  <c r="M211" i="40" s="1"/>
  <c r="I212" i="40" s="1"/>
  <c r="K212" i="40" l="1"/>
  <c r="M212" i="40"/>
  <c r="I213" i="40" s="1"/>
  <c r="D212" i="40"/>
  <c r="F212" i="40" s="1"/>
  <c r="B213" i="40" s="1"/>
  <c r="D213" i="40" l="1"/>
  <c r="F213" i="40" s="1"/>
  <c r="B214" i="40" s="1"/>
  <c r="K213" i="40"/>
  <c r="M213" i="40" s="1"/>
  <c r="I214" i="40" s="1"/>
  <c r="K214" i="40" l="1"/>
  <c r="M214" i="40" s="1"/>
  <c r="I215" i="40" s="1"/>
  <c r="D214" i="40"/>
  <c r="F214" i="40" s="1"/>
  <c r="B215" i="40" s="1"/>
  <c r="D215" i="40" l="1"/>
  <c r="F215" i="40" s="1"/>
  <c r="B216" i="40" s="1"/>
  <c r="K215" i="40"/>
  <c r="M215" i="40" s="1"/>
  <c r="I216" i="40" s="1"/>
  <c r="K216" i="40" l="1"/>
  <c r="M216" i="40"/>
  <c r="I217" i="40" s="1"/>
  <c r="D216" i="40"/>
  <c r="F216" i="40" s="1"/>
  <c r="B217" i="40" s="1"/>
  <c r="D217" i="40" l="1"/>
  <c r="F217" i="40" s="1"/>
  <c r="B218" i="40" s="1"/>
  <c r="K217" i="40"/>
  <c r="M217" i="40" s="1"/>
  <c r="I218" i="40" s="1"/>
  <c r="K218" i="40" l="1"/>
  <c r="M218" i="40" s="1"/>
  <c r="I219" i="40" s="1"/>
  <c r="D218" i="40"/>
  <c r="F218" i="40" s="1"/>
  <c r="B219" i="40" s="1"/>
  <c r="D219" i="40" l="1"/>
  <c r="F219" i="40" s="1"/>
  <c r="B220" i="40" s="1"/>
  <c r="K219" i="40"/>
  <c r="M219" i="40"/>
  <c r="I220" i="40" s="1"/>
  <c r="K220" i="40" l="1"/>
  <c r="M220" i="40" s="1"/>
  <c r="I221" i="40" s="1"/>
  <c r="D220" i="40"/>
  <c r="F220" i="40" s="1"/>
  <c r="B221" i="40" s="1"/>
  <c r="D221" i="40" l="1"/>
  <c r="F221" i="40" s="1"/>
  <c r="B222" i="40" s="1"/>
  <c r="K221" i="40"/>
  <c r="M221" i="40" s="1"/>
  <c r="I222" i="40" s="1"/>
  <c r="K222" i="40" l="1"/>
  <c r="M222" i="40"/>
  <c r="I223" i="40" s="1"/>
  <c r="D222" i="40"/>
  <c r="F222" i="40" s="1"/>
  <c r="B223" i="40" s="1"/>
  <c r="D223" i="40" l="1"/>
  <c r="F223" i="40" s="1"/>
  <c r="B224" i="40" s="1"/>
  <c r="K223" i="40"/>
  <c r="M223" i="40" s="1"/>
  <c r="I224" i="40" s="1"/>
  <c r="D224" i="40" l="1"/>
  <c r="F224" i="40" s="1"/>
  <c r="B225" i="40" s="1"/>
  <c r="K224" i="40"/>
  <c r="M224" i="40"/>
  <c r="I225" i="40" s="1"/>
  <c r="D225" i="40" l="1"/>
  <c r="F225" i="40" s="1"/>
  <c r="B226" i="40" s="1"/>
  <c r="K225" i="40"/>
  <c r="M225" i="40" s="1"/>
  <c r="I226" i="40" s="1"/>
  <c r="K226" i="40" l="1"/>
  <c r="M226" i="40" s="1"/>
  <c r="I227" i="40" s="1"/>
  <c r="D226" i="40"/>
  <c r="F226" i="40" s="1"/>
  <c r="B227" i="40" s="1"/>
  <c r="D227" i="40" l="1"/>
  <c r="F227" i="40" s="1"/>
  <c r="B228" i="40" s="1"/>
  <c r="K227" i="40"/>
  <c r="M227" i="40" s="1"/>
  <c r="I228" i="40" s="1"/>
  <c r="K228" i="40" l="1"/>
  <c r="M228" i="40" s="1"/>
  <c r="I229" i="40" s="1"/>
  <c r="D228" i="40"/>
  <c r="F228" i="40" s="1"/>
  <c r="B229" i="40" s="1"/>
  <c r="D229" i="40" l="1"/>
  <c r="F229" i="40" s="1"/>
  <c r="B230" i="40" s="1"/>
  <c r="K229" i="40"/>
  <c r="M229" i="40" s="1"/>
  <c r="I230" i="40" s="1"/>
  <c r="K230" i="40" l="1"/>
  <c r="M230" i="40" s="1"/>
  <c r="I231" i="40" s="1"/>
  <c r="D230" i="40"/>
  <c r="F230" i="40" s="1"/>
  <c r="B231" i="40" s="1"/>
  <c r="D231" i="40" l="1"/>
  <c r="F231" i="40" s="1"/>
  <c r="B232" i="40" s="1"/>
  <c r="K231" i="40"/>
  <c r="M231" i="40" s="1"/>
  <c r="I232" i="40" s="1"/>
  <c r="D232" i="40" l="1"/>
  <c r="F232" i="40" s="1"/>
  <c r="B233" i="40" s="1"/>
  <c r="K232" i="40"/>
  <c r="M232" i="40"/>
  <c r="I233" i="40" s="1"/>
  <c r="D233" i="40" l="1"/>
  <c r="F233" i="40" s="1"/>
  <c r="B234" i="40" s="1"/>
  <c r="K233" i="40"/>
  <c r="M233" i="40" s="1"/>
  <c r="I234" i="40" s="1"/>
  <c r="K234" i="40" l="1"/>
  <c r="M234" i="40" s="1"/>
  <c r="I235" i="40" s="1"/>
  <c r="D234" i="40"/>
  <c r="F234" i="40" s="1"/>
  <c r="B235" i="40" s="1"/>
  <c r="D235" i="40" l="1"/>
  <c r="F235" i="40" s="1"/>
  <c r="B236" i="40" s="1"/>
  <c r="K235" i="40"/>
  <c r="M235" i="40"/>
  <c r="I236" i="40" s="1"/>
  <c r="D236" i="40" l="1"/>
  <c r="F236" i="40" s="1"/>
  <c r="B237" i="40" s="1"/>
  <c r="K236" i="40"/>
  <c r="M236" i="40" s="1"/>
  <c r="I237" i="40" s="1"/>
  <c r="D237" i="40" l="1"/>
  <c r="F237" i="40" s="1"/>
  <c r="B238" i="40" s="1"/>
  <c r="K237" i="40"/>
  <c r="M237" i="40" s="1"/>
  <c r="I238" i="40" s="1"/>
  <c r="K238" i="40" l="1"/>
  <c r="M238" i="40"/>
  <c r="I239" i="40" s="1"/>
  <c r="D238" i="40"/>
  <c r="F238" i="40" s="1"/>
  <c r="B239" i="40" s="1"/>
  <c r="D239" i="40" l="1"/>
  <c r="F239" i="40" s="1"/>
  <c r="B240" i="40" s="1"/>
  <c r="K239" i="40"/>
  <c r="M239" i="40"/>
  <c r="I240" i="40" s="1"/>
  <c r="D240" i="40" l="1"/>
  <c r="F240" i="40" s="1"/>
  <c r="B241" i="40" s="1"/>
  <c r="K240" i="40"/>
  <c r="M240" i="40"/>
  <c r="I241" i="40" s="1"/>
  <c r="D241" i="40" l="1"/>
  <c r="F241" i="40" s="1"/>
  <c r="B242" i="40" s="1"/>
  <c r="K241" i="40"/>
  <c r="M241" i="40" s="1"/>
  <c r="I242" i="40" s="1"/>
  <c r="K242" i="40" l="1"/>
  <c r="M242" i="40" s="1"/>
  <c r="I243" i="40" s="1"/>
  <c r="D242" i="40"/>
  <c r="F242" i="40" s="1"/>
  <c r="B243" i="40" s="1"/>
  <c r="D243" i="40" l="1"/>
  <c r="F243" i="40" s="1"/>
  <c r="B244" i="40" s="1"/>
  <c r="K243" i="40"/>
  <c r="M243" i="40"/>
  <c r="I244" i="40" s="1"/>
  <c r="K244" i="40" l="1"/>
  <c r="M244" i="40"/>
  <c r="I245" i="40" s="1"/>
  <c r="D244" i="40"/>
  <c r="F244" i="40" s="1"/>
  <c r="B245" i="40" s="1"/>
  <c r="D245" i="40" l="1"/>
  <c r="F245" i="40" s="1"/>
  <c r="B246" i="40" s="1"/>
  <c r="K245" i="40"/>
  <c r="M245" i="40" s="1"/>
  <c r="I246" i="40" s="1"/>
  <c r="K246" i="40" l="1"/>
  <c r="M246" i="40" s="1"/>
  <c r="I247" i="40" s="1"/>
  <c r="D246" i="40"/>
  <c r="F246" i="40" s="1"/>
  <c r="B247" i="40" s="1"/>
  <c r="D247" i="40" l="1"/>
  <c r="F247" i="40" s="1"/>
  <c r="B248" i="40" s="1"/>
  <c r="K247" i="40"/>
  <c r="M247" i="40" s="1"/>
  <c r="I248" i="40" s="1"/>
  <c r="K248" i="40" l="1"/>
  <c r="M248" i="40" s="1"/>
  <c r="I249" i="40" s="1"/>
  <c r="D248" i="40"/>
  <c r="F248" i="40" s="1"/>
  <c r="B249" i="40" s="1"/>
  <c r="D249" i="40" l="1"/>
  <c r="F249" i="40" s="1"/>
  <c r="B250" i="40" s="1"/>
  <c r="K249" i="40"/>
  <c r="M249" i="40" s="1"/>
  <c r="I250" i="40" s="1"/>
  <c r="K250" i="40" l="1"/>
  <c r="M250" i="40" s="1"/>
  <c r="I251" i="40" s="1"/>
  <c r="D250" i="40"/>
  <c r="F250" i="40" s="1"/>
  <c r="B251" i="40" s="1"/>
  <c r="D251" i="40" l="1"/>
  <c r="F251" i="40" s="1"/>
  <c r="B252" i="40" s="1"/>
  <c r="K251" i="40"/>
  <c r="M251" i="40" s="1"/>
  <c r="I252" i="40" s="1"/>
  <c r="K252" i="40" l="1"/>
  <c r="M252" i="40"/>
  <c r="I253" i="40" s="1"/>
  <c r="D252" i="40"/>
  <c r="F252" i="40" s="1"/>
  <c r="B253" i="40" s="1"/>
  <c r="D253" i="40" l="1"/>
  <c r="F253" i="40" s="1"/>
  <c r="B254" i="40" s="1"/>
  <c r="K253" i="40"/>
  <c r="M253" i="40" s="1"/>
  <c r="I254" i="40" s="1"/>
  <c r="K254" i="40" l="1"/>
  <c r="M254" i="40" s="1"/>
  <c r="I255" i="40" s="1"/>
  <c r="D254" i="40"/>
  <c r="F254" i="40" s="1"/>
  <c r="B255" i="40" s="1"/>
  <c r="D255" i="40" l="1"/>
  <c r="F255" i="40" s="1"/>
  <c r="B256" i="40" s="1"/>
  <c r="K255" i="40"/>
  <c r="M255" i="40" s="1"/>
  <c r="I256" i="40" s="1"/>
  <c r="K256" i="40" l="1"/>
  <c r="M256" i="40" s="1"/>
  <c r="I257" i="40" s="1"/>
  <c r="D256" i="40"/>
  <c r="F256" i="40" s="1"/>
  <c r="B257" i="40" s="1"/>
  <c r="D257" i="40" l="1"/>
  <c r="F257" i="40" s="1"/>
  <c r="B258" i="40" s="1"/>
  <c r="K257" i="40"/>
  <c r="M257" i="40" s="1"/>
  <c r="I258" i="40" s="1"/>
  <c r="K258" i="40" l="1"/>
  <c r="M258" i="40" s="1"/>
  <c r="I259" i="40" s="1"/>
  <c r="D258" i="40"/>
  <c r="F258" i="40" s="1"/>
  <c r="B259" i="40" s="1"/>
  <c r="D259" i="40" l="1"/>
  <c r="F259" i="40" s="1"/>
  <c r="B260" i="40" s="1"/>
  <c r="K259" i="40"/>
  <c r="M259" i="40" s="1"/>
  <c r="I260" i="40" s="1"/>
  <c r="K260" i="40" l="1"/>
  <c r="M260" i="40" s="1"/>
  <c r="I261" i="40" s="1"/>
  <c r="D260" i="40"/>
  <c r="F260" i="40" s="1"/>
  <c r="B261" i="40" s="1"/>
  <c r="D261" i="40" l="1"/>
  <c r="F261" i="40" s="1"/>
  <c r="B262" i="40" s="1"/>
  <c r="K261" i="40"/>
  <c r="M261" i="40" s="1"/>
  <c r="I262" i="40" s="1"/>
  <c r="K262" i="40" l="1"/>
  <c r="M262" i="40" s="1"/>
  <c r="I263" i="40" s="1"/>
  <c r="D262" i="40"/>
  <c r="F262" i="40" s="1"/>
  <c r="B263" i="40" s="1"/>
  <c r="D263" i="40" l="1"/>
  <c r="F263" i="40" s="1"/>
  <c r="B264" i="40" s="1"/>
  <c r="K263" i="40"/>
  <c r="M263" i="40" s="1"/>
  <c r="I264" i="40" s="1"/>
  <c r="K264" i="40" l="1"/>
  <c r="M264" i="40"/>
  <c r="I265" i="40" s="1"/>
  <c r="D264" i="40"/>
  <c r="F264" i="40" s="1"/>
  <c r="B265" i="40" s="1"/>
  <c r="D265" i="40" l="1"/>
  <c r="F265" i="40" s="1"/>
  <c r="B266" i="40" s="1"/>
  <c r="K265" i="40"/>
  <c r="M265" i="40" s="1"/>
  <c r="I266" i="40" s="1"/>
  <c r="K266" i="40" l="1"/>
  <c r="M266" i="40" s="1"/>
  <c r="I267" i="40" s="1"/>
  <c r="D266" i="40"/>
  <c r="F266" i="40" s="1"/>
  <c r="B267" i="40" s="1"/>
  <c r="D267" i="40" l="1"/>
  <c r="F267" i="40" s="1"/>
  <c r="B268" i="40" s="1"/>
  <c r="K267" i="40"/>
  <c r="M267" i="40" s="1"/>
  <c r="I268" i="40" s="1"/>
  <c r="K268" i="40" l="1"/>
  <c r="M268" i="40"/>
  <c r="I269" i="40" s="1"/>
  <c r="D268" i="40"/>
  <c r="F268" i="40" s="1"/>
  <c r="B269" i="40" s="1"/>
  <c r="D269" i="40" l="1"/>
  <c r="F269" i="40" s="1"/>
  <c r="B270" i="40" s="1"/>
  <c r="K269" i="40"/>
  <c r="M269" i="40" s="1"/>
  <c r="I270" i="40" s="1"/>
  <c r="K270" i="40" l="1"/>
  <c r="M270" i="40" s="1"/>
  <c r="I271" i="40" s="1"/>
  <c r="D270" i="40"/>
  <c r="F270" i="40" s="1"/>
  <c r="B271" i="40" s="1"/>
  <c r="D271" i="40" l="1"/>
  <c r="F271" i="40" s="1"/>
  <c r="B272" i="40" s="1"/>
  <c r="K271" i="40"/>
  <c r="M271" i="40" s="1"/>
  <c r="I272" i="40" s="1"/>
  <c r="K272" i="40" l="1"/>
  <c r="M272" i="40"/>
  <c r="I273" i="40" s="1"/>
  <c r="D272" i="40"/>
  <c r="F272" i="40" s="1"/>
  <c r="B273" i="40" s="1"/>
  <c r="D273" i="40" l="1"/>
  <c r="F273" i="40" s="1"/>
  <c r="B274" i="40" s="1"/>
  <c r="K273" i="40"/>
  <c r="M273" i="40" s="1"/>
  <c r="I274" i="40" s="1"/>
  <c r="K274" i="40" l="1"/>
  <c r="M274" i="40" s="1"/>
  <c r="I275" i="40" s="1"/>
  <c r="D274" i="40"/>
  <c r="F274" i="40" s="1"/>
  <c r="B275" i="40" s="1"/>
  <c r="D275" i="40" l="1"/>
  <c r="F275" i="40" s="1"/>
  <c r="B276" i="40" s="1"/>
  <c r="K275" i="40"/>
  <c r="M275" i="40" s="1"/>
  <c r="I276" i="40" s="1"/>
  <c r="K276" i="40" l="1"/>
  <c r="M276" i="40"/>
  <c r="I277" i="40" s="1"/>
  <c r="D276" i="40"/>
  <c r="F276" i="40" s="1"/>
  <c r="B277" i="40" s="1"/>
  <c r="D277" i="40" l="1"/>
  <c r="F277" i="40" s="1"/>
  <c r="B278" i="40" s="1"/>
  <c r="K277" i="40"/>
  <c r="M277" i="40" s="1"/>
  <c r="I278" i="40" s="1"/>
  <c r="K278" i="40" l="1"/>
  <c r="M278" i="40" s="1"/>
  <c r="I279" i="40" s="1"/>
  <c r="D278" i="40"/>
  <c r="F278" i="40" s="1"/>
  <c r="B279" i="40" s="1"/>
  <c r="D279" i="40" l="1"/>
  <c r="F279" i="40" s="1"/>
  <c r="B280" i="40" s="1"/>
  <c r="K279" i="40"/>
  <c r="M279" i="40" s="1"/>
  <c r="I280" i="40" s="1"/>
  <c r="K280" i="40" l="1"/>
  <c r="M280" i="40"/>
  <c r="I281" i="40" s="1"/>
  <c r="D280" i="40"/>
  <c r="F280" i="40" s="1"/>
  <c r="B281" i="40" s="1"/>
  <c r="D281" i="40" l="1"/>
  <c r="F281" i="40"/>
  <c r="B282" i="40" s="1"/>
  <c r="K281" i="40"/>
  <c r="M281" i="40" s="1"/>
  <c r="I282" i="40" s="1"/>
  <c r="K282" i="40" l="1"/>
  <c r="M282" i="40" s="1"/>
  <c r="I283" i="40" s="1"/>
  <c r="D282" i="40"/>
  <c r="F282" i="40" s="1"/>
  <c r="B283" i="40" s="1"/>
  <c r="D283" i="40" l="1"/>
  <c r="F283" i="40" s="1"/>
  <c r="B284" i="40" s="1"/>
  <c r="K283" i="40"/>
  <c r="M283" i="40" s="1"/>
  <c r="I284" i="40" s="1"/>
  <c r="K284" i="40" l="1"/>
  <c r="M284" i="40" s="1"/>
  <c r="I285" i="40" s="1"/>
  <c r="D284" i="40"/>
  <c r="F284" i="40" s="1"/>
  <c r="B285" i="40" s="1"/>
  <c r="D285" i="40" l="1"/>
  <c r="F285" i="40" s="1"/>
  <c r="B286" i="40" s="1"/>
  <c r="K285" i="40"/>
  <c r="M285" i="40" s="1"/>
  <c r="I286" i="40" s="1"/>
  <c r="K286" i="40" l="1"/>
  <c r="M286" i="40" s="1"/>
  <c r="I287" i="40" s="1"/>
  <c r="D286" i="40"/>
  <c r="F286" i="40" s="1"/>
  <c r="B287" i="40" s="1"/>
  <c r="D287" i="40" l="1"/>
  <c r="F287" i="40" s="1"/>
  <c r="B288" i="40" s="1"/>
  <c r="K287" i="40"/>
  <c r="M287" i="40" s="1"/>
  <c r="I288" i="40" s="1"/>
  <c r="K288" i="40" l="1"/>
  <c r="M288" i="40" s="1"/>
  <c r="I289" i="40" s="1"/>
  <c r="D288" i="40"/>
  <c r="F288" i="40" s="1"/>
  <c r="B289" i="40" s="1"/>
  <c r="D289" i="40" l="1"/>
  <c r="F289" i="40" s="1"/>
  <c r="B290" i="40" s="1"/>
  <c r="K289" i="40"/>
  <c r="M289" i="40" s="1"/>
  <c r="I290" i="40" s="1"/>
  <c r="K290" i="40" l="1"/>
  <c r="M290" i="40" s="1"/>
  <c r="I291" i="40" s="1"/>
  <c r="D290" i="40"/>
  <c r="F290" i="40" s="1"/>
  <c r="B291" i="40" s="1"/>
  <c r="D291" i="40" l="1"/>
  <c r="F291" i="40" s="1"/>
  <c r="B292" i="40" s="1"/>
  <c r="K291" i="40"/>
  <c r="M291" i="40" s="1"/>
  <c r="I292" i="40" s="1"/>
  <c r="K292" i="40" l="1"/>
  <c r="M292" i="40"/>
  <c r="I293" i="40" s="1"/>
  <c r="D292" i="40"/>
  <c r="F292" i="40" s="1"/>
  <c r="B293" i="40" s="1"/>
  <c r="D293" i="40" l="1"/>
  <c r="F293" i="40"/>
  <c r="B294" i="40" s="1"/>
  <c r="K293" i="40"/>
  <c r="M293" i="40" s="1"/>
  <c r="I294" i="40" s="1"/>
  <c r="K294" i="40" l="1"/>
  <c r="M294" i="40" s="1"/>
  <c r="I295" i="40" s="1"/>
  <c r="D294" i="40"/>
  <c r="F294" i="40" s="1"/>
  <c r="B295" i="40" s="1"/>
  <c r="D295" i="40" l="1"/>
  <c r="F295" i="40" s="1"/>
  <c r="B296" i="40" s="1"/>
  <c r="K295" i="40"/>
  <c r="M295" i="40" s="1"/>
  <c r="I296" i="40" s="1"/>
  <c r="K296" i="40" l="1"/>
  <c r="M296" i="40"/>
  <c r="I297" i="40" s="1"/>
  <c r="D296" i="40"/>
  <c r="F296" i="40" s="1"/>
  <c r="B297" i="40" s="1"/>
  <c r="D297" i="40" l="1"/>
  <c r="F297" i="40" s="1"/>
  <c r="B298" i="40" s="1"/>
  <c r="K297" i="40"/>
  <c r="M297" i="40" s="1"/>
  <c r="I298" i="40" s="1"/>
  <c r="K298" i="40" l="1"/>
  <c r="M298" i="40" s="1"/>
  <c r="I299" i="40" s="1"/>
  <c r="D298" i="40"/>
  <c r="F298" i="40" s="1"/>
  <c r="B299" i="40" s="1"/>
  <c r="D299" i="40" l="1"/>
  <c r="F299" i="40" s="1"/>
  <c r="B300" i="40" s="1"/>
  <c r="K299" i="40"/>
  <c r="M299" i="40" s="1"/>
  <c r="I300" i="40" s="1"/>
  <c r="K300" i="40" l="1"/>
  <c r="M300" i="40"/>
  <c r="I301" i="40" s="1"/>
  <c r="D300" i="40"/>
  <c r="F300" i="40" s="1"/>
  <c r="B301" i="40" s="1"/>
  <c r="D301" i="40" l="1"/>
  <c r="F301" i="40"/>
  <c r="B302" i="40" s="1"/>
  <c r="K301" i="40"/>
  <c r="M301" i="40" s="1"/>
  <c r="I302" i="40" s="1"/>
  <c r="K302" i="40" l="1"/>
  <c r="M302" i="40" s="1"/>
  <c r="I303" i="40" s="1"/>
  <c r="D302" i="40"/>
  <c r="F302" i="40" s="1"/>
  <c r="B303" i="40" s="1"/>
  <c r="D303" i="40" l="1"/>
  <c r="F303" i="40" s="1"/>
  <c r="B304" i="40" s="1"/>
  <c r="K303" i="40"/>
  <c r="M303" i="40" s="1"/>
  <c r="I304" i="40" s="1"/>
  <c r="K304" i="40" l="1"/>
  <c r="M304" i="40"/>
  <c r="I305" i="40" s="1"/>
  <c r="D304" i="40"/>
  <c r="F304" i="40" s="1"/>
  <c r="B305" i="40" s="1"/>
  <c r="D305" i="40" l="1"/>
  <c r="F305" i="40" s="1"/>
  <c r="B306" i="40" s="1"/>
  <c r="K305" i="40"/>
  <c r="M305" i="40" s="1"/>
  <c r="I306" i="40" s="1"/>
  <c r="K306" i="40" l="1"/>
  <c r="M306" i="40" s="1"/>
  <c r="I307" i="40" s="1"/>
  <c r="D306" i="40"/>
  <c r="F306" i="40" s="1"/>
  <c r="B307" i="40" s="1"/>
  <c r="D307" i="40" l="1"/>
  <c r="F307" i="40" s="1"/>
  <c r="B308" i="40" s="1"/>
  <c r="K307" i="40"/>
  <c r="M307" i="40" s="1"/>
  <c r="I308" i="40" s="1"/>
  <c r="K308" i="40" l="1"/>
  <c r="M308" i="40" s="1"/>
  <c r="I309" i="40" s="1"/>
  <c r="D308" i="40"/>
  <c r="F308" i="40" s="1"/>
  <c r="B309" i="40" s="1"/>
  <c r="D309" i="40" l="1"/>
  <c r="F309" i="40" s="1"/>
  <c r="B310" i="40" s="1"/>
  <c r="K309" i="40"/>
  <c r="M309" i="40" s="1"/>
  <c r="I310" i="40" s="1"/>
  <c r="K310" i="40" l="1"/>
  <c r="M310" i="40" s="1"/>
  <c r="I311" i="40" s="1"/>
  <c r="D310" i="40"/>
  <c r="F310" i="40" s="1"/>
  <c r="B311" i="40" s="1"/>
  <c r="D311" i="40" l="1"/>
  <c r="F311" i="40" s="1"/>
  <c r="B312" i="40" s="1"/>
  <c r="K311" i="40"/>
  <c r="M311" i="40" s="1"/>
  <c r="I312" i="40" s="1"/>
  <c r="K312" i="40" l="1"/>
  <c r="M312" i="40"/>
  <c r="I313" i="40" s="1"/>
  <c r="D312" i="40"/>
  <c r="F312" i="40" s="1"/>
  <c r="B313" i="40" s="1"/>
  <c r="D313" i="40" l="1"/>
  <c r="F313" i="40" s="1"/>
  <c r="B314" i="40" s="1"/>
  <c r="K313" i="40"/>
  <c r="M313" i="40" s="1"/>
  <c r="I314" i="40" s="1"/>
  <c r="K314" i="40" l="1"/>
  <c r="M314" i="40" s="1"/>
  <c r="I315" i="40" s="1"/>
  <c r="D314" i="40"/>
  <c r="F314" i="40" s="1"/>
  <c r="B315" i="40" s="1"/>
  <c r="D315" i="40" l="1"/>
  <c r="F315" i="40"/>
  <c r="B316" i="40" s="1"/>
  <c r="K315" i="40"/>
  <c r="M315" i="40" s="1"/>
  <c r="I316" i="40" s="1"/>
  <c r="K316" i="40" l="1"/>
  <c r="M316" i="40"/>
  <c r="I317" i="40" s="1"/>
  <c r="D316" i="40"/>
  <c r="F316" i="40" s="1"/>
  <c r="B317" i="40" s="1"/>
  <c r="D317" i="40" l="1"/>
  <c r="F317" i="40" s="1"/>
  <c r="B318" i="40" s="1"/>
  <c r="K317" i="40"/>
  <c r="M317" i="40" s="1"/>
  <c r="I318" i="40" s="1"/>
  <c r="K318" i="40" l="1"/>
  <c r="M318" i="40" s="1"/>
  <c r="I319" i="40" s="1"/>
  <c r="D318" i="40"/>
  <c r="F318" i="40" s="1"/>
  <c r="B319" i="40" s="1"/>
  <c r="D319" i="40" l="1"/>
  <c r="F319" i="40" s="1"/>
  <c r="B320" i="40" s="1"/>
  <c r="K319" i="40"/>
  <c r="M319" i="40" s="1"/>
  <c r="I320" i="40" s="1"/>
  <c r="K320" i="40" l="1"/>
  <c r="M320" i="40"/>
  <c r="I321" i="40" s="1"/>
  <c r="D320" i="40"/>
  <c r="F320" i="40" s="1"/>
  <c r="B321" i="40" s="1"/>
  <c r="D321" i="40" l="1"/>
  <c r="F321" i="40" s="1"/>
  <c r="B322" i="40" s="1"/>
  <c r="K321" i="40"/>
  <c r="M321" i="40" s="1"/>
  <c r="I322" i="40" s="1"/>
  <c r="K322" i="40" l="1"/>
  <c r="M322" i="40" s="1"/>
  <c r="I323" i="40" s="1"/>
  <c r="D322" i="40"/>
  <c r="F322" i="40" s="1"/>
  <c r="B323" i="40" s="1"/>
  <c r="D323" i="40" l="1"/>
  <c r="F323" i="40" s="1"/>
  <c r="B324" i="40" s="1"/>
  <c r="K323" i="40"/>
  <c r="M323" i="40" s="1"/>
  <c r="I324" i="40" s="1"/>
  <c r="K324" i="40" l="1"/>
  <c r="M324" i="40"/>
  <c r="I325" i="40" s="1"/>
  <c r="D324" i="40"/>
  <c r="F324" i="40" s="1"/>
  <c r="B325" i="40" s="1"/>
  <c r="D325" i="40" l="1"/>
  <c r="F325" i="40" s="1"/>
  <c r="B326" i="40" s="1"/>
  <c r="K325" i="40"/>
  <c r="M325" i="40" s="1"/>
  <c r="I326" i="40" s="1"/>
  <c r="K326" i="40" l="1"/>
  <c r="M326" i="40" s="1"/>
  <c r="I327" i="40" s="1"/>
  <c r="D326" i="40"/>
  <c r="F326" i="40" s="1"/>
  <c r="B327" i="40" s="1"/>
  <c r="D327" i="40" l="1"/>
  <c r="F327" i="40" s="1"/>
  <c r="B328" i="40" s="1"/>
  <c r="K327" i="40"/>
  <c r="M327" i="40" s="1"/>
  <c r="I328" i="40" s="1"/>
  <c r="K328" i="40" l="1"/>
  <c r="M328" i="40"/>
  <c r="I329" i="40" s="1"/>
  <c r="D328" i="40"/>
  <c r="F328" i="40" s="1"/>
  <c r="B329" i="40" s="1"/>
  <c r="D329" i="40" l="1"/>
  <c r="F329" i="40" s="1"/>
  <c r="B330" i="40" s="1"/>
  <c r="K329" i="40"/>
  <c r="M329" i="40" s="1"/>
  <c r="I330" i="40" s="1"/>
  <c r="K330" i="40" l="1"/>
  <c r="M330" i="40" s="1"/>
  <c r="I331" i="40" s="1"/>
  <c r="D330" i="40"/>
  <c r="F330" i="40" s="1"/>
  <c r="B331" i="40" s="1"/>
  <c r="D331" i="40" l="1"/>
  <c r="F331" i="40" s="1"/>
  <c r="B332" i="40" s="1"/>
  <c r="K331" i="40"/>
  <c r="M331" i="40" s="1"/>
  <c r="I332" i="40" s="1"/>
  <c r="K332" i="40" l="1"/>
  <c r="M332" i="40" s="1"/>
  <c r="I333" i="40" s="1"/>
  <c r="D332" i="40"/>
  <c r="F332" i="40" s="1"/>
  <c r="B333" i="40" s="1"/>
  <c r="D333" i="40" l="1"/>
  <c r="F333" i="40" s="1"/>
  <c r="B334" i="40" s="1"/>
  <c r="K333" i="40"/>
  <c r="M333" i="40" s="1"/>
  <c r="I334" i="40" s="1"/>
  <c r="K334" i="40" l="1"/>
  <c r="M334" i="40" s="1"/>
  <c r="I335" i="40" s="1"/>
  <c r="D334" i="40"/>
  <c r="F334" i="40" s="1"/>
  <c r="B335" i="40" s="1"/>
  <c r="D335" i="40" l="1"/>
  <c r="F335" i="40" s="1"/>
  <c r="B336" i="40" s="1"/>
  <c r="K335" i="40"/>
  <c r="M335" i="40" s="1"/>
  <c r="I336" i="40" s="1"/>
  <c r="K336" i="40" l="1"/>
  <c r="M336" i="40" s="1"/>
  <c r="I337" i="40" s="1"/>
  <c r="D336" i="40"/>
  <c r="F336" i="40" s="1"/>
  <c r="B337" i="40" s="1"/>
  <c r="D337" i="40" l="1"/>
  <c r="F337" i="40" s="1"/>
  <c r="B338" i="40" s="1"/>
  <c r="K337" i="40"/>
  <c r="M337" i="40" s="1"/>
  <c r="I338" i="40" s="1"/>
  <c r="K338" i="40" l="1"/>
  <c r="M338" i="40" s="1"/>
  <c r="I339" i="40" s="1"/>
  <c r="D338" i="40"/>
  <c r="F338" i="40" s="1"/>
  <c r="B339" i="40" s="1"/>
  <c r="D339" i="40" l="1"/>
  <c r="F339" i="40" s="1"/>
  <c r="B340" i="40" s="1"/>
  <c r="K339" i="40"/>
  <c r="M339" i="40" s="1"/>
  <c r="I340" i="40" s="1"/>
  <c r="K340" i="40" l="1"/>
  <c r="M340" i="40" s="1"/>
  <c r="I341" i="40" s="1"/>
  <c r="D340" i="40"/>
  <c r="F340" i="40" s="1"/>
  <c r="B341" i="40" s="1"/>
  <c r="D341" i="40" l="1"/>
  <c r="F341" i="40" s="1"/>
  <c r="B342" i="40" s="1"/>
  <c r="K341" i="40"/>
  <c r="M341" i="40" s="1"/>
  <c r="I342" i="40" s="1"/>
  <c r="K342" i="40" l="1"/>
  <c r="M342" i="40" s="1"/>
  <c r="I343" i="40" s="1"/>
  <c r="D342" i="40"/>
  <c r="F342" i="40" s="1"/>
  <c r="B343" i="40" s="1"/>
  <c r="D343" i="40" l="1"/>
  <c r="F343" i="40" s="1"/>
  <c r="B344" i="40" s="1"/>
  <c r="K343" i="40"/>
  <c r="M343" i="40" s="1"/>
  <c r="I344" i="40" s="1"/>
  <c r="K344" i="40" l="1"/>
  <c r="M344" i="40"/>
  <c r="I345" i="40" s="1"/>
  <c r="D344" i="40"/>
  <c r="F344" i="40" s="1"/>
  <c r="B345" i="40" s="1"/>
  <c r="D345" i="40" l="1"/>
  <c r="F345" i="40" s="1"/>
  <c r="B346" i="40" s="1"/>
  <c r="K345" i="40"/>
  <c r="M345" i="40" s="1"/>
  <c r="I346" i="40" s="1"/>
  <c r="K346" i="40" l="1"/>
  <c r="M346" i="40" s="1"/>
  <c r="I347" i="40" s="1"/>
  <c r="D346" i="40"/>
  <c r="F346" i="40" s="1"/>
  <c r="B347" i="40" s="1"/>
  <c r="D347" i="40" l="1"/>
  <c r="F347" i="40" s="1"/>
  <c r="B348" i="40" s="1"/>
  <c r="K347" i="40"/>
  <c r="M347" i="40" s="1"/>
  <c r="I348" i="40" s="1"/>
  <c r="K348" i="40" l="1"/>
  <c r="M348" i="40"/>
  <c r="I349" i="40" s="1"/>
  <c r="D348" i="40"/>
  <c r="F348" i="40" s="1"/>
  <c r="B349" i="40" s="1"/>
  <c r="D349" i="40" l="1"/>
  <c r="F349" i="40" s="1"/>
  <c r="B350" i="40" s="1"/>
  <c r="K349" i="40"/>
  <c r="M349" i="40" s="1"/>
  <c r="I350" i="40" s="1"/>
  <c r="K350" i="40" l="1"/>
  <c r="M350" i="40" s="1"/>
  <c r="I351" i="40" s="1"/>
  <c r="D350" i="40"/>
  <c r="F350" i="40" s="1"/>
  <c r="B351" i="40" s="1"/>
  <c r="D351" i="40" l="1"/>
  <c r="F351" i="40" s="1"/>
  <c r="B352" i="40" s="1"/>
  <c r="K351" i="40"/>
  <c r="M351" i="40" s="1"/>
  <c r="I352" i="40" s="1"/>
  <c r="K352" i="40" l="1"/>
  <c r="M352" i="40"/>
  <c r="I353" i="40" s="1"/>
  <c r="D352" i="40"/>
  <c r="F352" i="40" s="1"/>
  <c r="B353" i="40" s="1"/>
  <c r="D353" i="40" l="1"/>
  <c r="F353" i="40" s="1"/>
  <c r="B354" i="40" s="1"/>
  <c r="K353" i="40"/>
  <c r="M353" i="40" s="1"/>
  <c r="I354" i="40" s="1"/>
  <c r="K354" i="40" l="1"/>
  <c r="M354" i="40"/>
  <c r="I355" i="40" s="1"/>
  <c r="D354" i="40"/>
  <c r="F354" i="40" s="1"/>
  <c r="B355" i="40" s="1"/>
  <c r="D355" i="40" l="1"/>
  <c r="F355" i="40" s="1"/>
  <c r="B356" i="40" s="1"/>
  <c r="K355" i="40"/>
  <c r="M355" i="40" s="1"/>
  <c r="I356" i="40" s="1"/>
  <c r="K356" i="40" l="1"/>
  <c r="M356" i="40" s="1"/>
  <c r="I357" i="40" s="1"/>
  <c r="D356" i="40"/>
  <c r="F356" i="40" s="1"/>
  <c r="B357" i="40" s="1"/>
  <c r="D357" i="40" l="1"/>
  <c r="F357" i="40" s="1"/>
  <c r="B358" i="40" s="1"/>
  <c r="K357" i="40"/>
  <c r="M357" i="40" s="1"/>
  <c r="I358" i="40" s="1"/>
  <c r="K358" i="40" l="1"/>
  <c r="M358" i="40" s="1"/>
  <c r="I359" i="40" s="1"/>
  <c r="D358" i="40"/>
  <c r="F358" i="40" s="1"/>
  <c r="B359" i="40" s="1"/>
  <c r="D359" i="40" l="1"/>
  <c r="F359" i="40" s="1"/>
  <c r="B360" i="40" s="1"/>
  <c r="K359" i="40"/>
  <c r="M359" i="40" s="1"/>
  <c r="I360" i="40" s="1"/>
  <c r="K360" i="40" l="1"/>
  <c r="M360" i="40" s="1"/>
  <c r="I361" i="40" s="1"/>
  <c r="D360" i="40"/>
  <c r="F360" i="40" s="1"/>
  <c r="B361" i="40" s="1"/>
  <c r="D361" i="40" l="1"/>
  <c r="F361" i="40" s="1"/>
  <c r="B362" i="40" s="1"/>
  <c r="K361" i="40"/>
  <c r="M361" i="40" s="1"/>
  <c r="I362" i="40" s="1"/>
  <c r="K362" i="40" l="1"/>
  <c r="M362" i="40"/>
  <c r="I363" i="40" s="1"/>
  <c r="D362" i="40"/>
  <c r="F362" i="40" s="1"/>
  <c r="B363" i="40" s="1"/>
  <c r="D363" i="40" l="1"/>
  <c r="F363" i="40" s="1"/>
  <c r="B364" i="40" s="1"/>
  <c r="K363" i="40"/>
  <c r="M363" i="40" s="1"/>
  <c r="I364" i="40" s="1"/>
  <c r="K364" i="40" l="1"/>
  <c r="M364" i="40" s="1"/>
  <c r="I365" i="40" s="1"/>
  <c r="D364" i="40"/>
  <c r="F364" i="40" s="1"/>
  <c r="B365" i="40" s="1"/>
  <c r="D365" i="40" l="1"/>
  <c r="F365" i="40" s="1"/>
  <c r="B366" i="40" s="1"/>
  <c r="K365" i="40"/>
  <c r="M365" i="40" s="1"/>
  <c r="I366" i="40" s="1"/>
  <c r="K366" i="40" l="1"/>
  <c r="M366" i="40"/>
  <c r="I367" i="40" s="1"/>
  <c r="D366" i="40"/>
  <c r="F366" i="40" s="1"/>
  <c r="B367" i="40" s="1"/>
  <c r="D367" i="40" l="1"/>
  <c r="F367" i="40" s="1"/>
  <c r="B368" i="40" s="1"/>
  <c r="K367" i="40"/>
  <c r="M367" i="40" s="1"/>
  <c r="I368" i="40" s="1"/>
  <c r="K368" i="40" l="1"/>
  <c r="M368" i="40" s="1"/>
  <c r="I369" i="40" s="1"/>
  <c r="D368" i="40"/>
  <c r="F368" i="40" s="1"/>
  <c r="B369" i="40" s="1"/>
  <c r="D369" i="40" l="1"/>
  <c r="F369" i="40" s="1"/>
  <c r="B370" i="40" s="1"/>
  <c r="K369" i="40"/>
  <c r="M369" i="40" s="1"/>
  <c r="I370" i="40" s="1"/>
  <c r="K370" i="40" l="1"/>
  <c r="M370" i="40"/>
  <c r="I371" i="40" s="1"/>
  <c r="D370" i="40"/>
  <c r="F370" i="40" s="1"/>
  <c r="B371" i="40" s="1"/>
  <c r="D371" i="40" l="1"/>
  <c r="F371" i="40" s="1"/>
  <c r="B372" i="40" s="1"/>
  <c r="K371" i="40"/>
  <c r="M371" i="40" s="1"/>
  <c r="I372" i="40" s="1"/>
  <c r="K372" i="40" l="1"/>
  <c r="M372" i="40" s="1"/>
  <c r="I373" i="40" s="1"/>
  <c r="D372" i="40"/>
  <c r="F372" i="40" s="1"/>
  <c r="B373" i="40" s="1"/>
  <c r="D373" i="40" l="1"/>
  <c r="F373" i="40" s="1"/>
  <c r="B374" i="40" s="1"/>
  <c r="K373" i="40"/>
  <c r="M373" i="40"/>
  <c r="I374" i="40" s="1"/>
  <c r="K374" i="40" l="1"/>
  <c r="M374" i="40"/>
  <c r="I375" i="40" s="1"/>
  <c r="D374" i="40"/>
  <c r="F374" i="40" s="1"/>
  <c r="B375" i="40" s="1"/>
  <c r="D375" i="40" l="1"/>
  <c r="F375" i="40" s="1"/>
  <c r="B376" i="40" s="1"/>
  <c r="K375" i="40"/>
  <c r="M375" i="40" s="1"/>
  <c r="I376" i="40" s="1"/>
  <c r="K376" i="40" l="1"/>
  <c r="M376" i="40" s="1"/>
  <c r="I377" i="40" s="1"/>
  <c r="D376" i="40"/>
  <c r="F376" i="40" s="1"/>
  <c r="B377" i="40" s="1"/>
  <c r="D377" i="40" l="1"/>
  <c r="F377" i="40" s="1"/>
  <c r="B378" i="40" s="1"/>
  <c r="K377" i="40"/>
  <c r="M377" i="40"/>
  <c r="I378" i="40" s="1"/>
  <c r="K378" i="40" l="1"/>
  <c r="M378" i="40" s="1"/>
  <c r="I379" i="40" s="1"/>
  <c r="D378" i="40"/>
  <c r="F378" i="40" s="1"/>
  <c r="B379" i="40" s="1"/>
  <c r="D379" i="40" l="1"/>
  <c r="F379" i="40" s="1"/>
  <c r="B380" i="40" s="1"/>
  <c r="K379" i="40"/>
  <c r="M379" i="40" s="1"/>
  <c r="I380" i="40" s="1"/>
  <c r="K380" i="40" l="1"/>
  <c r="M380" i="40" s="1"/>
  <c r="I381" i="40" s="1"/>
  <c r="D380" i="40"/>
  <c r="F380" i="40" s="1"/>
  <c r="B381" i="40" s="1"/>
  <c r="D381" i="40" l="1"/>
  <c r="F381" i="40" s="1"/>
  <c r="B382" i="40" s="1"/>
  <c r="K381" i="40"/>
  <c r="M381" i="40"/>
  <c r="I382" i="40" s="1"/>
  <c r="D382" i="40" l="1"/>
  <c r="F382" i="40" s="1"/>
  <c r="B383" i="40" s="1"/>
  <c r="K382" i="40"/>
  <c r="M382" i="40"/>
  <c r="I383" i="40" s="1"/>
  <c r="D383" i="40" l="1"/>
  <c r="F383" i="40" s="1"/>
  <c r="B384" i="40" s="1"/>
  <c r="K383" i="40"/>
  <c r="M383" i="40" s="1"/>
  <c r="I384" i="40" s="1"/>
  <c r="K384" i="40" l="1"/>
  <c r="M384" i="40" s="1"/>
  <c r="I385" i="40" s="1"/>
  <c r="D384" i="40"/>
  <c r="F384" i="40" s="1"/>
  <c r="B385" i="40" s="1"/>
  <c r="D385" i="40" l="1"/>
  <c r="F385" i="40" s="1"/>
  <c r="B386" i="40" s="1"/>
  <c r="K385" i="40"/>
  <c r="M385" i="40"/>
  <c r="I386" i="40" s="1"/>
  <c r="D386" i="40" l="1"/>
  <c r="F386" i="40" s="1"/>
  <c r="B387" i="40" s="1"/>
  <c r="K386" i="40"/>
  <c r="M386" i="40"/>
  <c r="I387" i="40" s="1"/>
  <c r="D387" i="40" l="1"/>
  <c r="F387" i="40" s="1"/>
  <c r="B388" i="40" s="1"/>
  <c r="K387" i="40"/>
  <c r="M387" i="40" s="1"/>
  <c r="I388" i="40" s="1"/>
  <c r="K388" i="40" l="1"/>
  <c r="M388" i="40"/>
  <c r="I389" i="40" s="1"/>
  <c r="D388" i="40"/>
  <c r="F388" i="40" s="1"/>
  <c r="B389" i="40" s="1"/>
  <c r="D389" i="40" l="1"/>
  <c r="F389" i="40" s="1"/>
  <c r="B390" i="40" s="1"/>
  <c r="K389" i="40"/>
  <c r="M389" i="40"/>
  <c r="I390" i="40" s="1"/>
  <c r="K390" i="40" l="1"/>
  <c r="M390" i="40"/>
  <c r="I391" i="40" s="1"/>
  <c r="D390" i="40"/>
  <c r="F390" i="40" s="1"/>
  <c r="B391" i="40" s="1"/>
  <c r="D391" i="40" l="1"/>
  <c r="F391" i="40" s="1"/>
  <c r="B392" i="40" s="1"/>
  <c r="K391" i="40"/>
  <c r="M391" i="40" s="1"/>
  <c r="I392" i="40" s="1"/>
  <c r="K392" i="40" l="1"/>
  <c r="M392" i="40" s="1"/>
  <c r="I393" i="40" s="1"/>
  <c r="D392" i="40"/>
  <c r="F392" i="40" s="1"/>
  <c r="B393" i="40" s="1"/>
  <c r="D393" i="40" l="1"/>
  <c r="F393" i="40" s="1"/>
  <c r="B394" i="40" s="1"/>
  <c r="K393" i="40"/>
  <c r="M393" i="40"/>
  <c r="I394" i="40" s="1"/>
  <c r="K394" i="40" l="1"/>
  <c r="M394" i="40"/>
  <c r="I395" i="40" s="1"/>
  <c r="D394" i="40"/>
  <c r="F394" i="40" s="1"/>
  <c r="B395" i="40" s="1"/>
  <c r="D395" i="40" l="1"/>
  <c r="F395" i="40" s="1"/>
  <c r="B396" i="40" s="1"/>
  <c r="K395" i="40"/>
  <c r="M395" i="40" s="1"/>
  <c r="I396" i="40" s="1"/>
  <c r="K396" i="40" l="1"/>
  <c r="M396" i="40"/>
  <c r="I397" i="40" s="1"/>
  <c r="D396" i="40"/>
  <c r="F396" i="40" s="1"/>
  <c r="B397" i="40" s="1"/>
  <c r="D397" i="40" l="1"/>
  <c r="F397" i="40" s="1"/>
  <c r="B398" i="40" s="1"/>
  <c r="K397" i="40"/>
  <c r="M397" i="40" s="1"/>
  <c r="I398" i="40" s="1"/>
  <c r="K398" i="40" l="1"/>
  <c r="M398" i="40" s="1"/>
  <c r="I399" i="40" s="1"/>
  <c r="D398" i="40"/>
  <c r="F398" i="40" s="1"/>
  <c r="B399" i="40" s="1"/>
  <c r="D399" i="40" l="1"/>
  <c r="F399" i="40" s="1"/>
  <c r="B400" i="40" s="1"/>
  <c r="K399" i="40"/>
  <c r="M399" i="40" s="1"/>
  <c r="I400" i="40" s="1"/>
  <c r="D400" i="40" l="1"/>
  <c r="F400" i="40" s="1"/>
  <c r="B401" i="40" s="1"/>
  <c r="K400" i="40"/>
  <c r="M400" i="40" s="1"/>
  <c r="I401" i="40" s="1"/>
  <c r="K401" i="40" l="1"/>
  <c r="M401" i="40"/>
  <c r="I402" i="40" s="1"/>
  <c r="D401" i="40"/>
  <c r="F401" i="40" s="1"/>
  <c r="B402" i="40" s="1"/>
  <c r="D402" i="40" l="1"/>
  <c r="F402" i="40" s="1"/>
  <c r="B403" i="40" s="1"/>
  <c r="K402" i="40"/>
  <c r="M402" i="40" s="1"/>
  <c r="I403" i="40" s="1"/>
  <c r="K403" i="40" l="1"/>
  <c r="M403" i="40" s="1"/>
  <c r="I404" i="40" s="1"/>
  <c r="D403" i="40"/>
  <c r="F403" i="40" s="1"/>
  <c r="B404" i="40" s="1"/>
  <c r="K404" i="40" l="1"/>
  <c r="M404" i="40" s="1"/>
  <c r="I405" i="40" s="1"/>
  <c r="D404" i="40"/>
  <c r="F404" i="40" s="1"/>
  <c r="B405" i="40" s="1"/>
  <c r="D405" i="40" l="1"/>
  <c r="F405" i="40" s="1"/>
  <c r="B406" i="40" s="1"/>
  <c r="K405" i="40"/>
  <c r="M405" i="40" s="1"/>
  <c r="I406" i="40" s="1"/>
  <c r="D406" i="40" l="1"/>
  <c r="F406" i="40" s="1"/>
  <c r="B407" i="40" s="1"/>
  <c r="K406" i="40"/>
  <c r="M406" i="40" s="1"/>
  <c r="I407" i="40" s="1"/>
  <c r="K407" i="40" l="1"/>
  <c r="M407" i="40"/>
  <c r="I408" i="40" s="1"/>
  <c r="D407" i="40"/>
  <c r="F407" i="40" s="1"/>
  <c r="B408" i="40" s="1"/>
  <c r="D408" i="40" l="1"/>
  <c r="F408" i="40" s="1"/>
  <c r="B409" i="40" s="1"/>
  <c r="K408" i="40"/>
  <c r="M408" i="40" s="1"/>
  <c r="I409" i="40" s="1"/>
  <c r="K409" i="40" l="1"/>
  <c r="M409" i="40"/>
  <c r="I410" i="40" s="1"/>
  <c r="D409" i="40"/>
  <c r="F409" i="40" s="1"/>
  <c r="B410" i="40" s="1"/>
  <c r="D410" i="40" l="1"/>
  <c r="F410" i="40" s="1"/>
  <c r="B411" i="40" s="1"/>
  <c r="K410" i="40"/>
  <c r="M410" i="40" s="1"/>
  <c r="I411" i="40" s="1"/>
  <c r="K411" i="40" l="1"/>
  <c r="M411" i="40"/>
  <c r="I412" i="40" s="1"/>
  <c r="D411" i="40"/>
  <c r="F411" i="40" s="1"/>
  <c r="B412" i="40" s="1"/>
  <c r="K412" i="40" l="1"/>
  <c r="M412" i="40" s="1"/>
  <c r="I413" i="40" s="1"/>
  <c r="D412" i="40"/>
  <c r="F412" i="40" s="1"/>
  <c r="B413" i="40" s="1"/>
  <c r="D413" i="40" l="1"/>
  <c r="F413" i="40" s="1"/>
  <c r="B414" i="40" s="1"/>
  <c r="K413" i="40"/>
  <c r="M413" i="40" s="1"/>
  <c r="I414" i="40" s="1"/>
  <c r="K414" i="40" l="1"/>
  <c r="M414" i="40" s="1"/>
  <c r="I415" i="40" s="1"/>
  <c r="D414" i="40"/>
  <c r="F414" i="40" s="1"/>
  <c r="B415" i="40" s="1"/>
  <c r="D415" i="40" l="1"/>
  <c r="F415" i="40" s="1"/>
  <c r="B416" i="40" s="1"/>
  <c r="K415" i="40"/>
  <c r="M415" i="40"/>
  <c r="I416" i="40" s="1"/>
  <c r="D416" i="40" l="1"/>
  <c r="F416" i="40" s="1"/>
  <c r="B417" i="40" s="1"/>
  <c r="K416" i="40"/>
  <c r="M416" i="40" s="1"/>
  <c r="I417" i="40" s="1"/>
  <c r="K417" i="40" l="1"/>
  <c r="M417" i="40"/>
  <c r="I418" i="40" s="1"/>
  <c r="D417" i="40"/>
  <c r="F417" i="40" s="1"/>
  <c r="B418" i="40" s="1"/>
  <c r="K418" i="40" l="1"/>
  <c r="M418" i="40" s="1"/>
  <c r="I419" i="40" s="1"/>
  <c r="D418" i="40"/>
  <c r="F418" i="40" s="1"/>
  <c r="B419" i="40" s="1"/>
  <c r="D419" i="40" l="1"/>
  <c r="F419" i="40" s="1"/>
  <c r="B420" i="40" s="1"/>
  <c r="K419" i="40"/>
  <c r="M419" i="40" s="1"/>
  <c r="I420" i="40" s="1"/>
  <c r="D420" i="40" l="1"/>
  <c r="F420" i="40" s="1"/>
  <c r="B421" i="40" s="1"/>
  <c r="K420" i="40"/>
  <c r="M420" i="40" s="1"/>
  <c r="I421" i="40" s="1"/>
  <c r="K421" i="40" l="1"/>
  <c r="M421" i="40"/>
  <c r="I422" i="40" s="1"/>
  <c r="D421" i="40"/>
  <c r="F421" i="40" s="1"/>
  <c r="B422" i="40" s="1"/>
  <c r="D422" i="40" l="1"/>
  <c r="F422" i="40" s="1"/>
  <c r="B423" i="40" s="1"/>
  <c r="K422" i="40"/>
  <c r="M422" i="40" s="1"/>
  <c r="I423" i="40" s="1"/>
  <c r="K423" i="40" l="1"/>
  <c r="M423" i="40"/>
  <c r="I424" i="40" s="1"/>
  <c r="D423" i="40"/>
  <c r="F423" i="40" s="1"/>
  <c r="B424" i="40" s="1"/>
  <c r="D424" i="40" l="1"/>
  <c r="F424" i="40" s="1"/>
  <c r="B425" i="40" s="1"/>
  <c r="K424" i="40"/>
  <c r="M424" i="40" s="1"/>
  <c r="I425" i="40" s="1"/>
  <c r="K425" i="40" l="1"/>
  <c r="M425" i="40" s="1"/>
  <c r="I426" i="40" s="1"/>
  <c r="D425" i="40"/>
  <c r="F425" i="40"/>
  <c r="B426" i="40" s="1"/>
  <c r="D426" i="40" l="1"/>
  <c r="F426" i="40" s="1"/>
  <c r="B427" i="40" s="1"/>
  <c r="K426" i="40"/>
  <c r="M426" i="40" s="1"/>
  <c r="I427" i="40" s="1"/>
  <c r="K427" i="40" l="1"/>
  <c r="M427" i="40"/>
  <c r="I428" i="40" s="1"/>
  <c r="D427" i="40"/>
  <c r="F427" i="40" s="1"/>
  <c r="B428" i="40" s="1"/>
  <c r="D428" i="40" l="1"/>
  <c r="F428" i="40" s="1"/>
  <c r="B429" i="40" s="1"/>
  <c r="K428" i="40"/>
  <c r="M428" i="40" s="1"/>
  <c r="I429" i="40" s="1"/>
  <c r="K429" i="40" l="1"/>
  <c r="M429" i="40"/>
  <c r="I430" i="40" s="1"/>
  <c r="D429" i="40"/>
  <c r="F429" i="40" s="1"/>
  <c r="B430" i="40" s="1"/>
  <c r="D430" i="40" l="1"/>
  <c r="F430" i="40" s="1"/>
  <c r="B431" i="40" s="1"/>
  <c r="K430" i="40"/>
  <c r="M430" i="40" s="1"/>
  <c r="I431" i="40" s="1"/>
  <c r="K431" i="40" l="1"/>
  <c r="M431" i="40"/>
  <c r="I432" i="40" s="1"/>
  <c r="D431" i="40"/>
  <c r="F431" i="40" s="1"/>
  <c r="B432" i="40" s="1"/>
  <c r="D432" i="40" l="1"/>
  <c r="F432" i="40" s="1"/>
  <c r="B433" i="40" s="1"/>
  <c r="K432" i="40"/>
  <c r="M432" i="40" s="1"/>
  <c r="I433" i="40" s="1"/>
  <c r="K433" i="40" l="1"/>
  <c r="M433" i="40"/>
  <c r="I434" i="40" s="1"/>
  <c r="D433" i="40"/>
  <c r="F433" i="40" s="1"/>
  <c r="B434" i="40" s="1"/>
  <c r="D434" i="40" l="1"/>
  <c r="F434" i="40" s="1"/>
  <c r="B435" i="40" s="1"/>
  <c r="K434" i="40"/>
  <c r="M434" i="40" s="1"/>
  <c r="I435" i="40" s="1"/>
  <c r="K435" i="40" l="1"/>
  <c r="M435" i="40"/>
  <c r="I436" i="40" s="1"/>
  <c r="D435" i="40"/>
  <c r="F435" i="40" s="1"/>
  <c r="B436" i="40" s="1"/>
  <c r="K436" i="40" l="1"/>
  <c r="M436" i="40" s="1"/>
  <c r="I437" i="40" s="1"/>
  <c r="D436" i="40"/>
  <c r="F436" i="40" s="1"/>
  <c r="B437" i="40" s="1"/>
  <c r="D437" i="40" l="1"/>
  <c r="F437" i="40" s="1"/>
  <c r="B438" i="40" s="1"/>
  <c r="K437" i="40"/>
  <c r="M437" i="40"/>
  <c r="I438" i="40" s="1"/>
  <c r="K438" i="40" l="1"/>
  <c r="M438" i="40" s="1"/>
  <c r="I439" i="40" s="1"/>
  <c r="D438" i="40"/>
  <c r="F438" i="40" s="1"/>
  <c r="B439" i="40" s="1"/>
  <c r="D439" i="40" l="1"/>
  <c r="F439" i="40" s="1"/>
  <c r="B440" i="40" s="1"/>
  <c r="K439" i="40"/>
  <c r="M439" i="40" s="1"/>
  <c r="I440" i="40" s="1"/>
  <c r="D440" i="40" l="1"/>
  <c r="F440" i="40" s="1"/>
  <c r="B441" i="40" s="1"/>
  <c r="K440" i="40"/>
  <c r="M440" i="40" s="1"/>
  <c r="I441" i="40" s="1"/>
  <c r="K441" i="40" l="1"/>
  <c r="M441" i="40"/>
  <c r="I442" i="40" s="1"/>
  <c r="D441" i="40"/>
  <c r="F441" i="40" s="1"/>
  <c r="B442" i="40" s="1"/>
  <c r="D442" i="40" l="1"/>
  <c r="F442" i="40" s="1"/>
  <c r="B443" i="40" s="1"/>
  <c r="K442" i="40"/>
  <c r="M442" i="40" s="1"/>
  <c r="I443" i="40" s="1"/>
  <c r="K443" i="40" l="1"/>
  <c r="K445" i="40" s="1"/>
  <c r="K447" i="40" s="1"/>
  <c r="M443" i="40"/>
  <c r="D443" i="40"/>
  <c r="D445" i="40" s="1"/>
  <c r="F443" i="40" l="1"/>
  <c r="E5" i="9"/>
  <c r="D446" i="40"/>
  <c r="E21" i="9"/>
  <c r="E22" i="9" s="1"/>
  <c r="I96" i="1"/>
  <c r="D447" i="40" l="1"/>
  <c r="D454" i="40"/>
  <c r="D455" i="40" s="1"/>
  <c r="D457" i="40" s="1"/>
  <c r="I8" i="1"/>
  <c r="E13" i="43"/>
  <c r="K96" i="1"/>
  <c r="I99" i="1"/>
  <c r="J96" i="1"/>
  <c r="F462" i="40"/>
  <c r="F473" i="40" s="1"/>
  <c r="I13" i="43" l="1"/>
  <c r="J13" i="43" s="1"/>
  <c r="E16" i="43"/>
  <c r="E35" i="43" s="1"/>
  <c r="J8" i="1"/>
  <c r="K8" i="1"/>
  <c r="F16" i="42"/>
  <c r="I109" i="1"/>
  <c r="J99" i="1"/>
  <c r="J16" i="42" l="1"/>
  <c r="K16" i="42" s="1"/>
  <c r="E40" i="43"/>
  <c r="I16" i="43"/>
  <c r="J16" i="43" s="1"/>
  <c r="F16" i="43"/>
  <c r="I35" i="43"/>
  <c r="J35" i="43" s="1"/>
  <c r="E36" i="43"/>
  <c r="I36" i="43" s="1"/>
  <c r="J36" i="43" s="1"/>
  <c r="F40" i="43" l="1"/>
  <c r="F36" i="43"/>
  <c r="E43" i="43"/>
  <c r="I40" i="43"/>
  <c r="J40" i="43" s="1"/>
  <c r="F43" i="43"/>
  <c r="F44" i="43" s="1"/>
  <c r="F46" i="43" s="1"/>
  <c r="G16" i="43"/>
  <c r="G36" i="43" s="1"/>
  <c r="G40" i="43" l="1"/>
  <c r="E44" i="43"/>
  <c r="E46" i="43" s="1"/>
  <c r="I43" i="43"/>
  <c r="J43" i="43" s="1"/>
  <c r="G43" i="43" l="1"/>
  <c r="G44" i="43" s="1"/>
  <c r="G46" i="43" l="1"/>
  <c r="F22" i="1"/>
  <c r="F29" i="1" s="1"/>
  <c r="E46" i="3"/>
  <c r="H29" i="1" l="1"/>
  <c r="F84" i="1"/>
  <c r="H22" i="1"/>
  <c r="H84" i="1" l="1"/>
  <c r="F19" i="1"/>
  <c r="F90" i="1" s="1"/>
  <c r="H6" i="1"/>
  <c r="H19" i="1" s="1"/>
  <c r="I5" i="1" l="1"/>
  <c r="E2" i="9"/>
  <c r="E16" i="9" s="1"/>
  <c r="F11" i="42" l="1"/>
  <c r="I19" i="1"/>
  <c r="I90" i="1" l="1"/>
  <c r="J19" i="1"/>
  <c r="K19" i="1"/>
  <c r="F20" i="42"/>
  <c r="J11" i="42"/>
  <c r="K11" i="42" s="1"/>
  <c r="G20" i="42" l="1"/>
  <c r="G25" i="42" s="1"/>
  <c r="J20" i="42"/>
  <c r="K20" i="42" s="1"/>
  <c r="F25" i="42"/>
  <c r="K90" i="1"/>
  <c r="J90" i="1"/>
  <c r="F92" i="42" l="1"/>
  <c r="F93" i="42"/>
  <c r="J25" i="42"/>
  <c r="K25" i="42" s="1"/>
  <c r="F97" i="42"/>
  <c r="G97" i="42"/>
  <c r="G92" i="42"/>
  <c r="G100" i="42" s="1"/>
  <c r="G101" i="42" s="1"/>
  <c r="H20" i="42"/>
  <c r="H25" i="42" s="1"/>
  <c r="J93" i="42" l="1"/>
  <c r="K93" i="42" s="1"/>
  <c r="H92" i="42"/>
  <c r="H97" i="42"/>
  <c r="J92" i="42"/>
  <c r="K92" i="42" s="1"/>
  <c r="F100" i="42"/>
  <c r="H100" i="42" l="1"/>
  <c r="H101" i="42" s="1"/>
  <c r="F10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A4" authorId="0" shapeId="0" xr:uid="{00000000-0006-0000-0800-000001000000}">
      <text>
        <r>
          <rPr>
            <b/>
            <sz val="9"/>
            <color indexed="81"/>
            <rFont val="Tahoma"/>
            <family val="2"/>
          </rPr>
          <t>Lesley Steppan:</t>
        </r>
        <r>
          <rPr>
            <sz val="9"/>
            <color indexed="81"/>
            <rFont val="Tahoma"/>
            <family val="2"/>
          </rPr>
          <t xml:space="preserve">
From Audit Statement of Revenues, Expe Page 20</t>
        </r>
      </text>
    </comment>
    <comment ref="B4" authorId="0" shapeId="0" xr:uid="{00000000-0006-0000-0800-000002000000}">
      <text>
        <r>
          <rPr>
            <b/>
            <sz val="9"/>
            <color indexed="81"/>
            <rFont val="Tahoma"/>
            <family val="2"/>
          </rPr>
          <t>Lesley Steppan:</t>
        </r>
        <r>
          <rPr>
            <sz val="9"/>
            <color indexed="81"/>
            <rFont val="Tahoma"/>
            <family val="2"/>
          </rPr>
          <t xml:space="preserve">
From Audit Statement of Exp, Revenues, Exp, and Changes General Fund Actual column Page 19</t>
        </r>
      </text>
    </comment>
    <comment ref="A11" authorId="0" shapeId="0" xr:uid="{00000000-0006-0000-0800-000003000000}">
      <text>
        <r>
          <rPr>
            <b/>
            <sz val="9"/>
            <color indexed="81"/>
            <rFont val="Tahoma"/>
            <family val="2"/>
          </rPr>
          <t>Lesley Steppan:</t>
        </r>
        <r>
          <rPr>
            <sz val="9"/>
            <color indexed="81"/>
            <rFont val="Tahoma"/>
            <family val="2"/>
          </rPr>
          <t xml:space="preserve">
GF Stmnt of Rev, Exp &amp; Chng p22</t>
        </r>
      </text>
    </comment>
    <comment ref="B11" authorId="0" shapeId="0" xr:uid="{00000000-0006-0000-0800-000004000000}">
      <text>
        <r>
          <rPr>
            <b/>
            <sz val="9"/>
            <color indexed="81"/>
            <rFont val="Tahoma"/>
            <family val="2"/>
          </rPr>
          <t>Lesley Steppan:</t>
        </r>
        <r>
          <rPr>
            <sz val="9"/>
            <color indexed="81"/>
            <rFont val="Tahoma"/>
            <family val="2"/>
          </rPr>
          <t xml:space="preserve">
Schedule of Rev, Exp &amp; Changes in Fund Balance p21 of Audit. Fund Balance-Ending</t>
        </r>
      </text>
    </comment>
    <comment ref="B18" authorId="0" shapeId="0" xr:uid="{00000000-0006-0000-0800-000005000000}">
      <text>
        <r>
          <rPr>
            <b/>
            <sz val="9"/>
            <color indexed="81"/>
            <rFont val="Tahoma"/>
            <family val="2"/>
          </rPr>
          <t>Lesley Steppan:</t>
        </r>
        <r>
          <rPr>
            <sz val="9"/>
            <color indexed="81"/>
            <rFont val="Tahoma"/>
            <family val="2"/>
          </rPr>
          <t xml:space="preserve">
Ready to Read, AARP</t>
        </r>
      </text>
    </comment>
    <comment ref="B92" authorId="0" shapeId="0" xr:uid="{00000000-0006-0000-0800-000006000000}">
      <text>
        <r>
          <rPr>
            <b/>
            <sz val="9"/>
            <color indexed="81"/>
            <rFont val="Tahoma"/>
            <family val="2"/>
          </rPr>
          <t>Lesley Steppan:</t>
        </r>
        <r>
          <rPr>
            <sz val="9"/>
            <color indexed="81"/>
            <rFont val="Tahoma"/>
            <family val="2"/>
          </rPr>
          <t xml:space="preserve">
Lesley Steppan:
must match p4 Audit Gen Fund Statement of Revenues, Expenditures and changes in Fund Balances for year ended June 30. Difference is Net Change in Fund Balance $246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A4" authorId="0" shapeId="0" xr:uid="{00000000-0006-0000-0900-000001000000}">
      <text>
        <r>
          <rPr>
            <b/>
            <sz val="9"/>
            <color indexed="81"/>
            <rFont val="Tahoma"/>
            <family val="2"/>
          </rPr>
          <t>Lesley Steppan:</t>
        </r>
        <r>
          <rPr>
            <sz val="9"/>
            <color indexed="81"/>
            <rFont val="Tahoma"/>
            <family val="2"/>
          </rPr>
          <t xml:space="preserve">
From Audit</t>
        </r>
      </text>
    </comment>
    <comment ref="B4" authorId="0" shapeId="0" xr:uid="{00000000-0006-0000-0900-000002000000}">
      <text>
        <r>
          <rPr>
            <b/>
            <sz val="9"/>
            <color indexed="81"/>
            <rFont val="Tahoma"/>
            <family val="2"/>
          </rPr>
          <t>Lesley Steppan:</t>
        </r>
        <r>
          <rPr>
            <sz val="9"/>
            <color indexed="81"/>
            <rFont val="Tahoma"/>
            <family val="2"/>
          </rPr>
          <t xml:space="preserve">
From Audit</t>
        </r>
      </text>
    </comment>
    <comment ref="A11" authorId="0" shapeId="0" xr:uid="{00000000-0006-0000-0900-000003000000}">
      <text>
        <r>
          <rPr>
            <b/>
            <sz val="9"/>
            <color indexed="81"/>
            <rFont val="Tahoma"/>
            <family val="2"/>
          </rPr>
          <t>Lesley Steppan:</t>
        </r>
        <r>
          <rPr>
            <sz val="9"/>
            <color indexed="81"/>
            <rFont val="Tahoma"/>
            <family val="2"/>
          </rPr>
          <t xml:space="preserve">
Fund Balance Beginning Page 23 Audit</t>
        </r>
      </text>
    </comment>
    <comment ref="B11" authorId="0" shapeId="0" xr:uid="{00000000-0006-0000-0900-000004000000}">
      <text>
        <r>
          <rPr>
            <b/>
            <sz val="9"/>
            <color indexed="81"/>
            <rFont val="Tahoma"/>
            <family val="2"/>
          </rPr>
          <t>Lesley Steppan:</t>
        </r>
        <r>
          <rPr>
            <sz val="9"/>
            <color indexed="81"/>
            <rFont val="Tahoma"/>
            <family val="2"/>
          </rPr>
          <t xml:space="preserve">
Fund Balance Beginning Page 23 Audit</t>
        </r>
      </text>
    </comment>
    <comment ref="E44" authorId="0" shapeId="0" xr:uid="{00000000-0006-0000-0900-000005000000}">
      <text>
        <r>
          <rPr>
            <b/>
            <sz val="9"/>
            <color indexed="81"/>
            <rFont val="Tahoma"/>
            <family val="2"/>
          </rPr>
          <t>Lesley Steppan:</t>
        </r>
        <r>
          <rPr>
            <sz val="9"/>
            <color indexed="81"/>
            <rFont val="Tahoma"/>
            <family val="2"/>
          </rPr>
          <t xml:space="preserve">
must balance e16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C35" authorId="0" shapeId="0" xr:uid="{00000000-0006-0000-0A00-000001000000}">
      <text>
        <r>
          <rPr>
            <b/>
            <sz val="9"/>
            <color indexed="81"/>
            <rFont val="Tahoma"/>
            <family val="2"/>
          </rPr>
          <t>Lesley Steppan:</t>
        </r>
        <r>
          <rPr>
            <sz val="9"/>
            <color indexed="81"/>
            <rFont val="Tahoma"/>
            <family val="2"/>
          </rPr>
          <t xml:space="preserve">
must balance e16
</t>
        </r>
      </text>
    </comment>
    <comment ref="E35" authorId="0" shapeId="0" xr:uid="{00000000-0006-0000-0A00-000002000000}">
      <text>
        <r>
          <rPr>
            <b/>
            <sz val="9"/>
            <color indexed="81"/>
            <rFont val="Tahoma"/>
            <family val="2"/>
          </rPr>
          <t>Lesley Steppan:</t>
        </r>
        <r>
          <rPr>
            <sz val="9"/>
            <color indexed="81"/>
            <rFont val="Tahoma"/>
            <family val="2"/>
          </rPr>
          <t xml:space="preserve">
must balance e16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tc={1BB7AE55-6CE3-4553-A89B-61174062C8E5}</author>
    <author>Lesley Steppan</author>
    <author>tc={76E2B41E-4B95-4582-B79F-7AB778D67991}</author>
  </authors>
  <commentList>
    <comment ref="H26" authorId="0" shapeId="0" xr:uid="{1BB7AE55-6CE3-4553-A89B-61174062C8E5}">
      <text>
        <t>[Threaded comment]
Your version of Excel allows you to read this threaded comment; however, any edits to it will get removed if the file is opened in a newer version of Excel. Learn more: https://go.microsoft.com/fwlink/?linkid=870924
Comment:
    Budget did not include the Liability carry over from previous years</t>
      </text>
    </comment>
    <comment ref="I90" authorId="1" shapeId="0" xr:uid="{00000000-0006-0000-0000-000001000000}">
      <text>
        <r>
          <rPr>
            <b/>
            <sz val="9"/>
            <color indexed="81"/>
            <rFont val="Tahoma"/>
            <family val="2"/>
          </rPr>
          <t>Lesley Steppan:</t>
        </r>
        <r>
          <rPr>
            <sz val="9"/>
            <color indexed="81"/>
            <rFont val="Tahoma"/>
            <family val="2"/>
          </rPr>
          <t xml:space="preserve">
During seminar 2/10/22 the expert said to let all the unappropriated reside in contingency. That way of you need it (to buy property), all you will have to do is a board resolution to move it to where it is needed. If you don't, then it rolls over as unexpended to the next year anyway.</t>
        </r>
      </text>
    </comment>
    <comment ref="I97" authorId="2" shapeId="0" xr:uid="{76E2B41E-4B95-4582-B79F-7AB778D67991}">
      <text>
        <t>[Threaded comment]
Your version of Excel allows you to read this threaded comment; however, any edits to it will get removed if the file is opened in a newer version of Excel. Learn more: https://go.microsoft.com/fwlink/?linkid=870924
Comment:
    Foundation for new front doors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C20" authorId="0" shapeId="0" xr:uid="{963A2A3C-106A-4FF4-9CE1-E82D5783FB3D}">
      <text>
        <r>
          <rPr>
            <b/>
            <sz val="9"/>
            <color indexed="81"/>
            <rFont val="Tahoma"/>
            <family val="2"/>
          </rPr>
          <t>Lesley Steppan:</t>
        </r>
        <r>
          <rPr>
            <sz val="9"/>
            <color indexed="81"/>
            <rFont val="Tahoma"/>
            <family val="2"/>
          </rPr>
          <t xml:space="preserve">
Per Nicole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L442" authorId="0" shapeId="0" xr:uid="{00000000-0006-0000-0200-000001000000}">
      <text>
        <r>
          <rPr>
            <b/>
            <sz val="9"/>
            <color indexed="81"/>
            <rFont val="Tahoma"/>
            <family val="2"/>
          </rPr>
          <t>Lesley Steppan:</t>
        </r>
        <r>
          <rPr>
            <sz val="9"/>
            <color indexed="81"/>
            <rFont val="Tahoma"/>
            <family val="2"/>
          </rPr>
          <t xml:space="preserve">
Total Reserve Fund Expenditure Budget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Lesley Steppan</author>
    <author>Jerri Moore</author>
  </authors>
  <commentList>
    <comment ref="D5" authorId="0" shapeId="0" xr:uid="{00000000-0006-0000-0300-000001000000}">
      <text>
        <r>
          <rPr>
            <b/>
            <sz val="9"/>
            <color indexed="81"/>
            <rFont val="Tahoma"/>
            <family val="2"/>
          </rPr>
          <t>Lesley Steppan:</t>
        </r>
        <r>
          <rPr>
            <sz val="9"/>
            <color indexed="81"/>
            <rFont val="Tahoma"/>
            <family val="2"/>
          </rPr>
          <t xml:space="preserve">
expires 6/30/2022
5 year renewal 11/2020 election to 6/30/2027</t>
        </r>
      </text>
    </comment>
    <comment ref="B9" authorId="1" shapeId="0" xr:uid="{00000000-0006-0000-0300-000002000000}">
      <text>
        <r>
          <rPr>
            <sz val="12"/>
            <color indexed="81"/>
            <rFont val="Arial"/>
            <family val="2"/>
          </rPr>
          <t>https://lanecounty.org/government/county_departments/assessment___taxation  
  Click on Business/Property taxes. Drop down to latest tax reports. Select table 4a detail of taxing district levies pdf. Control F to find FERN. Print out both pages (around page 50). Using data on line 17 plug the values into the D9 and F9 cells.</t>
        </r>
      </text>
    </comment>
    <comment ref="B18" authorId="1" shapeId="0" xr:uid="{00000000-0006-0000-0300-000003000000}">
      <text>
        <r>
          <rPr>
            <sz val="12"/>
            <color indexed="81"/>
            <rFont val="Arial"/>
            <family val="2"/>
          </rPr>
          <t>https://lanecounty.org/government/county_departments/assessment___taxation  
  Click on Property taxes. Drop down selection is Tax report by tax year. Drop down tocurrent tax reports. Select table 4a detail of taxing district levies pdf. Control F to find FERN. Print out both pages. Using data on line 27 plug the values into the D19 and F19 cells for the Compression loss.</t>
        </r>
      </text>
    </comment>
    <comment ref="B22" authorId="1" shapeId="0" xr:uid="{00000000-0006-0000-0300-000004000000}">
      <text>
        <r>
          <rPr>
            <b/>
            <sz val="12"/>
            <color indexed="81"/>
            <rFont val="Arial"/>
            <family val="2"/>
          </rPr>
          <t xml:space="preserve">https://www.oregon.gov/DOR/forms/Pages/default.aspx
Local Budget — 
scroll down to Local budget to find
Forms and Instruction Booklet for Municipal Corporation 150-504-073 General Publication
Open and save to budget file. This booklet will be used for many other processes.
https://www.oregon.gov/dor/forms/FormsPubs/municipal-corporations-local-budget-instructions_504-073-1.pdf
In the annual Local Budget Law and Notice of Property tax booklet, on or about page 18 is the Percent of Property taxes collected, by county schedule. Using the the data for Lane county, extrapolate by SWAG what the budget percent should be and enter it into D23. F23 will populate.
</t>
        </r>
      </text>
    </comment>
    <comment ref="B23" authorId="0" shapeId="0" xr:uid="{00000000-0006-0000-0300-000005000000}">
      <text>
        <r>
          <rPr>
            <b/>
            <sz val="9"/>
            <color indexed="81"/>
            <rFont val="Tahoma"/>
            <family val="2"/>
          </rPr>
          <t>Lesley Steppan:</t>
        </r>
        <r>
          <rPr>
            <sz val="9"/>
            <color indexed="81"/>
            <rFont val="Tahoma"/>
            <family val="2"/>
          </rPr>
          <t xml:space="preserve">
Taxes paid in full or 2/3rds by Nov 15</t>
        </r>
      </text>
    </comment>
    <comment ref="F26" authorId="1" shapeId="0" xr:uid="{00000000-0006-0000-0300-000006000000}">
      <text>
        <r>
          <rPr>
            <sz val="9"/>
            <color indexed="81"/>
            <rFont val="Tahoma"/>
            <family val="2"/>
          </rPr>
          <t xml:space="preserve">
</t>
        </r>
        <r>
          <rPr>
            <sz val="12"/>
            <color indexed="81"/>
            <rFont val="Arial"/>
            <family val="2"/>
          </rPr>
          <t>This amount will be put in the proposed column of the budget under taxes necessary to balance.</t>
        </r>
      </text>
    </comment>
    <comment ref="D64" authorId="1" shapeId="0" xr:uid="{00000000-0006-0000-0300-000007000000}">
      <text>
        <r>
          <rPr>
            <b/>
            <sz val="12"/>
            <color indexed="81"/>
            <rFont val="Arial"/>
            <family val="2"/>
          </rPr>
          <t>This section is not printed and handed out. It is Business Managers reference only for answering questions on the compression losses.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41" authorId="0" shapeId="0" xr:uid="{00000000-0006-0000-0400-000001000000}">
      <text>
        <r>
          <rPr>
            <sz val="8"/>
            <color indexed="81"/>
            <rFont val="Tahoma"/>
            <family val="2"/>
          </rPr>
          <t>Revenue:
If plan is in  my county, then need to  add amount of other county 4E "amount to raise." 
If plan is in other county, then need to subtract my county 4e "amount to raise."</t>
        </r>
      </text>
    </comment>
    <comment ref="B110" authorId="0" shapeId="0" xr:uid="{00000000-0006-0000-0400-000002000000}">
      <text>
        <r>
          <rPr>
            <sz val="8"/>
            <color indexed="81"/>
            <rFont val="Tahoma"/>
            <family val="2"/>
          </rPr>
          <t>Revenue:
If plan is in  my county, then need to  add amount of other county 4E "amount to raise." 
If plan is in other county, then need to subtract my county 4e "amount to raise."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Lesley Steppan</author>
  </authors>
  <commentList>
    <comment ref="E14" authorId="0" shapeId="0" xr:uid="{00000000-0006-0000-0600-000001000000}">
      <text>
        <r>
          <rPr>
            <b/>
            <sz val="9"/>
            <color indexed="81"/>
            <rFont val="Tahoma"/>
            <family val="2"/>
          </rPr>
          <t>Lesley Steppan:</t>
        </r>
        <r>
          <rPr>
            <sz val="9"/>
            <color indexed="81"/>
            <rFont val="Tahoma"/>
            <family val="2"/>
          </rPr>
          <t xml:space="preserve">
Eric, Jerri, Olivia, Jennifer, Steve+1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Lesley Steppan</author>
    <author>tc={11837BCD-B318-40F2-99DF-7CA4DFB482D2}</author>
  </authors>
  <commentList>
    <comment ref="E2" authorId="0" shapeId="0" xr:uid="{00000000-0006-0000-0500-000001000000}">
      <text>
        <r>
          <rPr>
            <b/>
            <sz val="9"/>
            <color indexed="81"/>
            <rFont val="Tahoma"/>
            <family val="2"/>
          </rPr>
          <t>Lesley Steppan:</t>
        </r>
        <r>
          <rPr>
            <sz val="9"/>
            <color indexed="81"/>
            <rFont val="Tahoma"/>
            <family val="2"/>
          </rPr>
          <t xml:space="preserve">
12 hours/week</t>
        </r>
      </text>
    </comment>
    <comment ref="I5" authorId="0" shapeId="0" xr:uid="{00000000-0006-0000-0500-000002000000}">
      <text>
        <r>
          <rPr>
            <b/>
            <sz val="9"/>
            <color indexed="81"/>
            <rFont val="Tahoma"/>
            <family val="2"/>
          </rPr>
          <t>Lesley Steppan:</t>
        </r>
        <r>
          <rPr>
            <sz val="9"/>
            <color indexed="81"/>
            <rFont val="Tahoma"/>
            <family val="2"/>
          </rPr>
          <t xml:space="preserve">
Contract Rate</t>
        </r>
      </text>
    </comment>
    <comment ref="K5" authorId="0" shapeId="0" xr:uid="{00000000-0006-0000-0500-000003000000}">
      <text>
        <r>
          <rPr>
            <b/>
            <sz val="9"/>
            <color indexed="81"/>
            <rFont val="Tahoma"/>
            <family val="2"/>
          </rPr>
          <t>Lesley Steppan:</t>
        </r>
        <r>
          <rPr>
            <sz val="9"/>
            <color indexed="81"/>
            <rFont val="Tahoma"/>
            <family val="2"/>
          </rPr>
          <t xml:space="preserve">
Per State of Oregon
Min Wage rate</t>
        </r>
      </text>
    </comment>
    <comment ref="C23" authorId="0" shapeId="0" xr:uid="{00000000-0006-0000-0500-000004000000}">
      <text>
        <r>
          <rPr>
            <b/>
            <sz val="9"/>
            <color indexed="81"/>
            <rFont val="Tahoma"/>
            <family val="2"/>
          </rPr>
          <t>Lesley Steppan:</t>
        </r>
        <r>
          <rPr>
            <sz val="9"/>
            <color indexed="81"/>
            <rFont val="Tahoma"/>
            <family val="2"/>
          </rPr>
          <t xml:space="preserve">
Does not get a step increase until 7/1/2027
</t>
        </r>
      </text>
    </comment>
    <comment ref="E23" authorId="0" shapeId="0" xr:uid="{00000000-0006-0000-0500-000005000000}">
      <text>
        <r>
          <rPr>
            <b/>
            <sz val="9"/>
            <color indexed="81"/>
            <rFont val="Tahoma"/>
            <family val="2"/>
          </rPr>
          <t>Lesley Steppan:</t>
        </r>
        <r>
          <rPr>
            <sz val="9"/>
            <color indexed="81"/>
            <rFont val="Tahoma"/>
            <family val="2"/>
          </rPr>
          <t xml:space="preserve">
Contracted rate for 2023-2024 was higher</t>
        </r>
      </text>
    </comment>
    <comment ref="F23" authorId="0" shapeId="0" xr:uid="{00000000-0006-0000-0500-000006000000}">
      <text>
        <r>
          <rPr>
            <b/>
            <sz val="9"/>
            <color indexed="81"/>
            <rFont val="Tahoma"/>
            <family val="2"/>
          </rPr>
          <t>Lesley Steppan:</t>
        </r>
        <r>
          <rPr>
            <sz val="9"/>
            <color indexed="81"/>
            <rFont val="Tahoma"/>
            <family val="2"/>
          </rPr>
          <t xml:space="preserve">
Does not get step increase last year due to maternity leave of 1 year</t>
        </r>
      </text>
    </comment>
    <comment ref="A32" authorId="0" shapeId="0" xr:uid="{00000000-0006-0000-0500-000007000000}">
      <text>
        <r>
          <rPr>
            <b/>
            <sz val="9"/>
            <color indexed="81"/>
            <rFont val="Tahoma"/>
            <family val="2"/>
          </rPr>
          <t>Lesley Steppan:</t>
        </r>
        <r>
          <rPr>
            <sz val="9"/>
            <color indexed="81"/>
            <rFont val="Tahoma"/>
            <family val="2"/>
          </rPr>
          <t xml:space="preserve">
Medical Reimbursement
</t>
        </r>
      </text>
    </comment>
    <comment ref="C52" authorId="0" shapeId="0" xr:uid="{00000000-0006-0000-0500-000008000000}">
      <text>
        <r>
          <rPr>
            <b/>
            <sz val="9"/>
            <color indexed="81"/>
            <rFont val="Tahoma"/>
            <family val="2"/>
          </rPr>
          <t>Lesley Steppan:</t>
        </r>
        <r>
          <rPr>
            <sz val="9"/>
            <color indexed="81"/>
            <rFont val="Tahoma"/>
            <family val="2"/>
          </rPr>
          <t xml:space="preserve">
take this amount and add the cola percentage. All the rest of the numbers in this line should increase by COLA amount
</t>
        </r>
      </text>
    </comment>
    <comment ref="M64" authorId="1" shapeId="0" xr:uid="{11837BCD-B318-40F2-99DF-7CA4DFB482D2}">
      <text>
        <t>[Threaded comment]
Your version of Excel allows you to read this threaded comment; however, any edits to it will get removed if the file is opened in a newer version of Excel. Learn more: https://go.microsoft.com/fwlink/?linkid=870924
Comment:
    COLA only until Step 20</t>
      </text>
    </comment>
    <comment ref="C98" authorId="0" shapeId="0" xr:uid="{00000000-0006-0000-0500-000009000000}">
      <text>
        <r>
          <rPr>
            <b/>
            <sz val="9"/>
            <color indexed="81"/>
            <rFont val="Tahoma"/>
            <family val="2"/>
          </rPr>
          <t>Lesley Steppan:</t>
        </r>
        <r>
          <rPr>
            <sz val="9"/>
            <color indexed="81"/>
            <rFont val="Tahoma"/>
            <family val="2"/>
          </rPr>
          <t xml:space="preserve">
take this amount and add the cola percentage. All the rest of the numbers in this line should increase by COLA amount
</t>
        </r>
      </text>
    </comment>
    <comment ref="D98" authorId="0" shapeId="0" xr:uid="{00000000-0006-0000-0500-00000A000000}">
      <text>
        <r>
          <rPr>
            <b/>
            <sz val="9"/>
            <color indexed="81"/>
            <rFont val="Tahoma"/>
            <family val="2"/>
          </rPr>
          <t>Lesley Steppan:</t>
        </r>
        <r>
          <rPr>
            <sz val="9"/>
            <color indexed="81"/>
            <rFont val="Tahoma"/>
            <family val="2"/>
          </rPr>
          <t xml:space="preserve">
Helen</t>
        </r>
      </text>
    </comment>
    <comment ref="J98" authorId="0" shapeId="0" xr:uid="{00000000-0006-0000-0500-00000B000000}">
      <text>
        <r>
          <rPr>
            <b/>
            <sz val="9"/>
            <color indexed="81"/>
            <rFont val="Tahoma"/>
            <family val="2"/>
          </rPr>
          <t>Lesley Steppan:</t>
        </r>
        <r>
          <rPr>
            <sz val="9"/>
            <color indexed="81"/>
            <rFont val="Tahoma"/>
            <family val="2"/>
          </rPr>
          <t xml:space="preserve">
Meli</t>
        </r>
      </text>
    </comment>
  </commentList>
</comments>
</file>

<file path=xl/sharedStrings.xml><?xml version="1.0" encoding="utf-8"?>
<sst xmlns="http://schemas.openxmlformats.org/spreadsheetml/2006/main" count="2118" uniqueCount="1048">
  <si>
    <t>General Fund</t>
  </si>
  <si>
    <t>Reserve Fund</t>
  </si>
  <si>
    <t>4000 · Beginning fund balance</t>
  </si>
  <si>
    <t>4005 · Fund Balance - Reserve</t>
  </si>
  <si>
    <t>4010 · Current Taxes</t>
  </si>
  <si>
    <t>4020 · Prior Taxes</t>
  </si>
  <si>
    <t>4030 · Interest</t>
  </si>
  <si>
    <t>4032 · Interest on Prior Taxes</t>
  </si>
  <si>
    <t>4033 · Investment Interest</t>
  </si>
  <si>
    <t>4040 · Out of District Patrons</t>
  </si>
  <si>
    <t>4050 · Forest Products Revenue</t>
  </si>
  <si>
    <t>4070 · In Lieu of Tax-HACSA/Elec Coop</t>
  </si>
  <si>
    <t>4100 · Fees and fines</t>
  </si>
  <si>
    <t>4200 · Donations</t>
  </si>
  <si>
    <t>4250 · Grants</t>
  </si>
  <si>
    <t>4400 · Misc Income</t>
  </si>
  <si>
    <t>4520 · Transfers In/Out</t>
  </si>
  <si>
    <t>5010 · Salaries</t>
  </si>
  <si>
    <t>5030 · Unemployment</t>
  </si>
  <si>
    <t>5040 · Personnel Background Review</t>
  </si>
  <si>
    <t>6010 · Audit</t>
  </si>
  <si>
    <t>6020 · Board Expenses</t>
  </si>
  <si>
    <t>6031 · Book Adult</t>
  </si>
  <si>
    <t>6032 · Book Youth</t>
  </si>
  <si>
    <t>6033 · AV-Adult</t>
  </si>
  <si>
    <t>6034 · AV-Youth</t>
  </si>
  <si>
    <t>6036 · Electronic Resource</t>
  </si>
  <si>
    <t>6045 · OR Ethics Commission Assessment</t>
  </si>
  <si>
    <t>6060 · Copier</t>
  </si>
  <si>
    <t>6065 · Printers</t>
  </si>
  <si>
    <t>6070 · Dues</t>
  </si>
  <si>
    <t>6080 · Election costs</t>
  </si>
  <si>
    <t>6090 · Electricity</t>
  </si>
  <si>
    <t>6110 · Garbage &amp; Recycling</t>
  </si>
  <si>
    <t>6120 · Insurance - General</t>
  </si>
  <si>
    <t>6130 · Internet fees</t>
  </si>
  <si>
    <t>6135 · Web Site Fees</t>
  </si>
  <si>
    <t>6140 · Annual Automation Fees (SIRSI)</t>
  </si>
  <si>
    <t>6150 · OCLC fees-Integrated Catalog</t>
  </si>
  <si>
    <t>6160 · Legal Services</t>
  </si>
  <si>
    <t>6165 · Professional Services</t>
  </si>
  <si>
    <t>6170 · Periodicals-Regular</t>
  </si>
  <si>
    <t>6180 · Postage</t>
  </si>
  <si>
    <t>6190 · Public notices</t>
  </si>
  <si>
    <t>6200 · Rentals Safe Deposit &amp; PO Boxes</t>
  </si>
  <si>
    <t>6210 · Repair/Maintain - Bldg &amp; Equip</t>
  </si>
  <si>
    <t>6220 · HVAC System</t>
  </si>
  <si>
    <t>6230 · Staff development Registration</t>
  </si>
  <si>
    <t>6235 · Staff development Travel</t>
  </si>
  <si>
    <t>6251 · Supplies-General</t>
  </si>
  <si>
    <t>6252 · Supplies - MAKERSPACE</t>
  </si>
  <si>
    <t>6260 · Telephone</t>
  </si>
  <si>
    <t>6270 · Water &amp; Sewer</t>
  </si>
  <si>
    <t>6280 · Travel-non development</t>
  </si>
  <si>
    <t>6290 · Alarm System(s)</t>
  </si>
  <si>
    <t>6295 · Safety</t>
  </si>
  <si>
    <t>6300 · Banking fees</t>
  </si>
  <si>
    <t>6310 · InterLibrary Loans</t>
  </si>
  <si>
    <t>6330 · Software Updates</t>
  </si>
  <si>
    <t>6341 · Custodial Supplies</t>
  </si>
  <si>
    <t>6342 · Custodial Contracted Services</t>
  </si>
  <si>
    <t>6360 · Volunteers Recognition</t>
  </si>
  <si>
    <t>6390 · Computer Technical Assistance</t>
  </si>
  <si>
    <t>6410 · Community Programs-Adult/Youth</t>
  </si>
  <si>
    <t>6412 · Adult SRP</t>
  </si>
  <si>
    <t>6430 · Marketing</t>
  </si>
  <si>
    <t>6440 · Recruiting</t>
  </si>
  <si>
    <t>6491 · Youth-General District</t>
  </si>
  <si>
    <t>6492 · Youth-S R P</t>
  </si>
  <si>
    <t>6493 · Youth-Teen S R P</t>
  </si>
  <si>
    <t>7050 · Other Equip Capital Exp-</t>
  </si>
  <si>
    <t>7100 · Arts Capital Exp</t>
  </si>
  <si>
    <t>7110 · Buildings Capital Exp</t>
  </si>
  <si>
    <t>Total 7000 · Reserve Fund Capital Outlay</t>
  </si>
  <si>
    <t>8520 · Transfer To/From</t>
  </si>
  <si>
    <t>9000 · Contingency</t>
  </si>
  <si>
    <t>Resources</t>
  </si>
  <si>
    <t>Total Resources</t>
  </si>
  <si>
    <t>Expenditures</t>
  </si>
  <si>
    <t>Total Expenditures</t>
  </si>
  <si>
    <t>Total Other Expenditures</t>
  </si>
  <si>
    <t xml:space="preserve">Unappropriated Ending Fund Balance   </t>
  </si>
  <si>
    <t>OLA</t>
  </si>
  <si>
    <t>FTE</t>
  </si>
  <si>
    <t>Fern Ridge Library District</t>
  </si>
  <si>
    <t>Property Tax Revenue Projection</t>
  </si>
  <si>
    <t xml:space="preserve">Permanent Rate </t>
  </si>
  <si>
    <t xml:space="preserve">Option Levy Rate </t>
  </si>
  <si>
    <t xml:space="preserve">Total both rates </t>
  </si>
  <si>
    <t xml:space="preserve"> @ 3 % increase</t>
  </si>
  <si>
    <t>Levy Rates:</t>
  </si>
  <si>
    <t>Gross Tax Calculation</t>
  </si>
  <si>
    <t xml:space="preserve"> =</t>
  </si>
  <si>
    <t xml:space="preserve">Compression:  </t>
  </si>
  <si>
    <t>Taxes Imposed after compression</t>
  </si>
  <si>
    <t xml:space="preserve">Collection Rate % : </t>
  </si>
  <si>
    <t xml:space="preserve"> +</t>
  </si>
  <si>
    <t xml:space="preserve">  Reduction for budget financial summary (Form LB-1):  </t>
  </si>
  <si>
    <t>Perm</t>
  </si>
  <si>
    <t>Option</t>
  </si>
  <si>
    <t>Alarm Solutions</t>
  </si>
  <si>
    <t>Quarterly Monitoring ($75/quarter)</t>
  </si>
  <si>
    <t>Annual Testing</t>
  </si>
  <si>
    <t>American Library Association</t>
  </si>
  <si>
    <t>Jan</t>
  </si>
  <si>
    <t>Applegate Pioneer Museum</t>
  </si>
  <si>
    <t>EIG Bluehost</t>
  </si>
  <si>
    <t>Sept</t>
  </si>
  <si>
    <t>City of Veneta</t>
  </si>
  <si>
    <t>Costco</t>
  </si>
  <si>
    <t>Annual Membership</t>
  </si>
  <si>
    <t>Ebsco</t>
  </si>
  <si>
    <t>Emerald CPA</t>
  </si>
  <si>
    <t>Executive Cleaning</t>
  </si>
  <si>
    <t xml:space="preserve">Lane County Historical Society </t>
  </si>
  <si>
    <t>Harvey &amp; Price</t>
  </si>
  <si>
    <t>Hunter Communications</t>
  </si>
  <si>
    <t>Lane Council of Governments LCOG</t>
  </si>
  <si>
    <t>Oregon Hunters Association</t>
  </si>
  <si>
    <t>Pacific Northwest Booksellers Assoc</t>
  </si>
  <si>
    <t>Secretary of State</t>
  </si>
  <si>
    <t>Springfield Library</t>
  </si>
  <si>
    <t>Register Guard</t>
  </si>
  <si>
    <t>Junior Library Guild</t>
  </si>
  <si>
    <t>Smithsonian</t>
  </si>
  <si>
    <t>Totals</t>
  </si>
  <si>
    <t>Total Hours</t>
  </si>
  <si>
    <t xml:space="preserve">Rate of Pay </t>
  </si>
  <si>
    <t>Total Gross Wages</t>
  </si>
  <si>
    <t>Federal Soc Sec W/H 7.65%</t>
  </si>
  <si>
    <t>EPPT: OPSRP IAP 6%</t>
  </si>
  <si>
    <t>Health Insurance</t>
  </si>
  <si>
    <t>Dental Insurance</t>
  </si>
  <si>
    <t>Life Insurance</t>
  </si>
  <si>
    <t>Long Term Disability</t>
  </si>
  <si>
    <t>Medical/Dental Reimbursable</t>
  </si>
  <si>
    <t>Subs</t>
  </si>
  <si>
    <t>Annual Payroll</t>
  </si>
  <si>
    <t>Round for Budget</t>
  </si>
  <si>
    <t>Key Bank</t>
  </si>
  <si>
    <t>Annual WebHosting</t>
  </si>
  <si>
    <t>March</t>
  </si>
  <si>
    <t>Months left in FY</t>
  </si>
  <si>
    <t>Percent of time left in FY</t>
  </si>
  <si>
    <t>ALA Registration</t>
  </si>
  <si>
    <t>NBA Show Registration</t>
  </si>
  <si>
    <t>PNBA</t>
  </si>
  <si>
    <t>Toner Cartridges</t>
  </si>
  <si>
    <t>Conversation Project</t>
  </si>
  <si>
    <t>April</t>
  </si>
  <si>
    <t>Oct</t>
  </si>
  <si>
    <t>Y2Y diff</t>
  </si>
  <si>
    <t>Budget vs Projection</t>
  </si>
  <si>
    <t>Repair Exterior</t>
  </si>
  <si>
    <t>Parking Lot Paving</t>
  </si>
  <si>
    <t>Parking Lot extra spaces</t>
  </si>
  <si>
    <t>Other Unidentified</t>
  </si>
  <si>
    <t>LGIP 1</t>
  </si>
  <si>
    <t>LGIP 2</t>
  </si>
  <si>
    <t>6356 · Grounds Maintenance</t>
  </si>
  <si>
    <t xml:space="preserve">Net Tax Collection after discounts </t>
  </si>
  <si>
    <t>Wall Street Journal</t>
  </si>
  <si>
    <t>SDIS Liability Coverage</t>
  </si>
  <si>
    <t>SDIS Property</t>
  </si>
  <si>
    <t>SDIS Crime</t>
  </si>
  <si>
    <t xml:space="preserve">Annual Web mail service </t>
  </si>
  <si>
    <t>Zoom</t>
  </si>
  <si>
    <t>Monthly Access</t>
  </si>
  <si>
    <t>Postage</t>
  </si>
  <si>
    <t>USPS</t>
  </si>
  <si>
    <t>OCLC, Inc</t>
  </si>
  <si>
    <t>Ingram</t>
  </si>
  <si>
    <t>Other</t>
  </si>
  <si>
    <t>Target</t>
  </si>
  <si>
    <t>Pacific Office Automation</t>
  </si>
  <si>
    <t>Annual Box Rental</t>
  </si>
  <si>
    <t>Annual Fire Sprinkler Inspection</t>
  </si>
  <si>
    <t>Pest Control</t>
  </si>
  <si>
    <t>Ace Hardware</t>
  </si>
  <si>
    <t>4X/year</t>
  </si>
  <si>
    <t>LCOL</t>
  </si>
  <si>
    <t>The Schroeder Company</t>
  </si>
  <si>
    <t>OLA Directors Meeting Registration</t>
  </si>
  <si>
    <t>B&amp;W Copies</t>
  </si>
  <si>
    <t>Color Copies</t>
  </si>
  <si>
    <t xml:space="preserve">NewsBank </t>
  </si>
  <si>
    <t>Recommended:</t>
  </si>
  <si>
    <t>Discounts &amp; Uncollected:</t>
  </si>
  <si>
    <t>COMPRESSION LOSSES</t>
  </si>
  <si>
    <t>In 1997, Measure 50—another state constitutional amendment—further restricted the property</t>
  </si>
  <si>
    <t>tax system in Oregon by establishing limits on the growth rates of taxable property value,</t>
  </si>
  <si>
    <t>ostensibly to make property tax payments more predictable and to shelter homeowners from wild</t>
  </si>
  <si>
    <t>fluctuations in the real estate market. Taxable property value was defined as the 1996 assessed</t>
  </si>
  <si>
    <t>value of a property, plus a 3 percent annual increase; this value is referred to as a home’s</t>
  </si>
  <si>
    <t>assessed value. (New homes’ assessed values are their original assessed value, plus a 3 percent</t>
  </si>
  <si>
    <t>annual increase.)</t>
  </si>
  <si>
    <t>Tax compression is the effect of a passed tax increase—either in the form of a permanent rate</t>
  </si>
  <si>
    <t>increase or a local option levy—hitting the Measure 5 dollar-limit per $1,000 of either a</t>
  </si>
  <si>
    <t>property’s Measure 50-defined assessed value or its real market value, whichever is lesser. When</t>
  </si>
  <si>
    <t>tax compression occurs, only tax revenue up to each property’s limit is collected and distributed</t>
  </si>
  <si>
    <t>amongst the government entities expecting property tax revenue to fund their budgets.</t>
  </si>
  <si>
    <t>Compression occurs when your tax amount calculation based on the Ballot Measure 5 limits of $5 per $1000 of Real Market Value (RMV) for Education taxes and $10 per $1000 for General Government taxes results in a lower bill than the calculation based on the Assessed Value and tax rate.</t>
  </si>
  <si>
    <t>Local option levies—passed most often by public service districts like fire, police, and schools,</t>
  </si>
  <si>
    <t>to fund building renovations or other atypical expenses—are the first in line to lose revenue to</t>
  </si>
  <si>
    <t>tax compression. If a levy’s collected taxes for a property are reduced to zero and tax</t>
  </si>
  <si>
    <t>compression is still in effect for that property, then permanent rate tax collection is reduced until</t>
  </si>
  <si>
    <t>the tax cap dollar-limit is reached.</t>
  </si>
  <si>
    <t>This process is complex and confusing, leaving many Oregonians unaware that funding</t>
  </si>
  <si>
    <t>measures they supported on the ballot could be limited or eliminated by property tax</t>
  </si>
  <si>
    <t>compression. Local government officials and school district administrators themselves may not</t>
  </si>
  <si>
    <t>understand or anticipate the effects of tax compression on their revenue stream, and may not be</t>
  </si>
  <si>
    <t>accounting for it in their budgets.</t>
  </si>
  <si>
    <t>As needed</t>
  </si>
  <si>
    <t>As Needed</t>
  </si>
  <si>
    <t>Programs</t>
  </si>
  <si>
    <t>4030 · Interest (General Fund)</t>
  </si>
  <si>
    <t>4033 · Investment Interest (Taxes)</t>
  </si>
  <si>
    <t>7010 · Electronic Equip Capital Exp</t>
  </si>
  <si>
    <t>to date</t>
  </si>
  <si>
    <t>4030 · Interest - Reserve</t>
  </si>
  <si>
    <t>Dump Runs</t>
  </si>
  <si>
    <t>OBOB</t>
  </si>
  <si>
    <t>REVENUE</t>
  </si>
  <si>
    <t>Special Projects</t>
  </si>
  <si>
    <t>FY 22-23 Proposed</t>
  </si>
  <si>
    <t>Rounding</t>
  </si>
  <si>
    <t>Acting Director Wage</t>
  </si>
  <si>
    <t>Annual Audit December</t>
  </si>
  <si>
    <t>Annual audit filing fee January</t>
  </si>
  <si>
    <t>Annual billing October</t>
  </si>
  <si>
    <t>SDAO Conference lodging</t>
  </si>
  <si>
    <t xml:space="preserve">SDAO Conference mileage </t>
  </si>
  <si>
    <t>SDAO Conference non covered meals</t>
  </si>
  <si>
    <t>Oregon Government Ethics Comm</t>
  </si>
  <si>
    <t>SDIS Non Owned/Hired Auto</t>
  </si>
  <si>
    <t>CatExpress Individual 2000 Titles</t>
  </si>
  <si>
    <t>6215 · Fire Suppression</t>
  </si>
  <si>
    <t>Portable Extinguisher Maintenance</t>
  </si>
  <si>
    <t>SDAO Conference- Employees</t>
  </si>
  <si>
    <t>6290 · Alarm System</t>
  </si>
  <si>
    <t xml:space="preserve">Interlibrary Loans </t>
  </si>
  <si>
    <t>World Share Subscription August</t>
  </si>
  <si>
    <t>Annual Organizational membership</t>
  </si>
  <si>
    <t>TABLE 4a - DETAIL OF TAXING DISTRICT LEVIES</t>
  </si>
  <si>
    <t>NOTE:  Where urban renewal excess value impacts the district, report any reduced rate levies on a separate table 4a.</t>
  </si>
  <si>
    <t>County:</t>
  </si>
  <si>
    <t>District Abbreviation</t>
  </si>
  <si>
    <t>LIBFRLD-A</t>
  </si>
  <si>
    <t>Taxing District Code</t>
  </si>
  <si>
    <t>DAU</t>
  </si>
  <si>
    <t>Taxing District Name</t>
  </si>
  <si>
    <t>Counties in which District lies</t>
  </si>
  <si>
    <t xml:space="preserve"> </t>
  </si>
  <si>
    <t>PERMANENT</t>
  </si>
  <si>
    <t>LOCAL OPTION</t>
  </si>
  <si>
    <t>UR SPECIAL LEVY</t>
  </si>
  <si>
    <t>BONDS</t>
  </si>
  <si>
    <r>
      <t xml:space="preserve">Levy Approved </t>
    </r>
    <r>
      <rPr>
        <u/>
        <sz val="12"/>
        <rFont val="Arial"/>
        <family val="2"/>
      </rPr>
      <t>Before</t>
    </r>
    <r>
      <rPr>
        <sz val="12"/>
        <rFont val="Arial"/>
        <family val="2"/>
      </rPr>
      <t xml:space="preserve"> or </t>
    </r>
    <r>
      <rPr>
        <u/>
        <sz val="12"/>
        <rFont val="Arial"/>
        <family val="2"/>
      </rPr>
      <t>After</t>
    </r>
    <r>
      <rPr>
        <sz val="12"/>
        <rFont val="Arial"/>
        <family val="2"/>
      </rPr>
      <t xml:space="preserve"> 10/6/01</t>
    </r>
  </si>
  <si>
    <t>Inside M5 Limit</t>
  </si>
  <si>
    <t>Outside M5 Limit</t>
  </si>
  <si>
    <t>TOTAL</t>
  </si>
  <si>
    <t xml:space="preserve"> Ad Valorem Tax Levies</t>
  </si>
  <si>
    <t>Permanent Levy (if dollar amount)</t>
  </si>
  <si>
    <t>Local Option Levy (if dollar amount)*</t>
  </si>
  <si>
    <t>"GAP" Bond Levy</t>
  </si>
  <si>
    <t>Urban Renewal Special Levy</t>
  </si>
  <si>
    <t xml:space="preserve">Bond Levy* </t>
  </si>
  <si>
    <t>TOTAL DOLLAR LEVY (add lines 5 thru 9)</t>
  </si>
  <si>
    <t>Adjustments</t>
  </si>
  <si>
    <t xml:space="preserve">Amount Raised in Other Counties </t>
  </si>
  <si>
    <t>NET DOLLAR LEVY FOR TAX RATE (line 10 minus line 11)</t>
  </si>
  <si>
    <t>Taxable Property Value (if an urban renewal plan is involved, report reduced rate levies separately)</t>
  </si>
  <si>
    <t>Total Assessed Value</t>
  </si>
  <si>
    <t xml:space="preserve">    Add: Non-Profit Housing Value</t>
  </si>
  <si>
    <t xml:space="preserve">    Add:  Fish and Wildlife Value</t>
  </si>
  <si>
    <t xml:space="preserve">    Subtract: Urban Renewal Excess (amt. used only)**</t>
  </si>
  <si>
    <t>VALUE TO COMPUTE THE TAX RATE</t>
  </si>
  <si>
    <t>Tax Computations</t>
  </si>
  <si>
    <t>Tax Rate (for dollar levies, line 12 divided by line 17)***</t>
  </si>
  <si>
    <t>Amount Tax Rate Will Raise (line 17 times line 18)</t>
  </si>
  <si>
    <t>Truncation Loss (for dollar levies only)  (line 19 minus line 12)</t>
  </si>
  <si>
    <r>
      <t xml:space="preserve">Total Timber Offset Amount </t>
    </r>
    <r>
      <rPr>
        <b/>
        <sz val="12"/>
        <rFont val="Arial"/>
        <family val="2"/>
      </rPr>
      <t>(county district only)</t>
    </r>
  </si>
  <si>
    <t>Timber Tax Rate (line 21 divided by line 17)</t>
  </si>
  <si>
    <t>Billing Rate (line 18 minus line 22)</t>
  </si>
  <si>
    <t>Calculated Tax for Extension for District (line 23 times line 17)</t>
  </si>
  <si>
    <t>24a</t>
  </si>
  <si>
    <t>Gain from UR Division of Tax Rate Truncation</t>
  </si>
  <si>
    <t>24b</t>
  </si>
  <si>
    <t>Gain or Loss from UR Division of Tax Across Counties</t>
  </si>
  <si>
    <t>24c</t>
  </si>
  <si>
    <t>Net Tax for Extension (24 + 24a + 24b)</t>
  </si>
  <si>
    <t xml:space="preserve">Actual Tax Extended for District </t>
  </si>
  <si>
    <t>District's Gain or Loss from Individual Extension (25 - 24c)</t>
  </si>
  <si>
    <t>District's Compression Loss (Enter as a negative number)****</t>
  </si>
  <si>
    <t>DISTRICT TAXES IMPOSED (line 24c+line 26+line 27)</t>
  </si>
  <si>
    <t>Additional Taxes/Penalties</t>
  </si>
  <si>
    <t>Farmland (ORS 308A.703)</t>
  </si>
  <si>
    <t>Forestland (ORS 308A.703)</t>
  </si>
  <si>
    <t>Small Tract Forestland (STF) (ORS 308A.703)</t>
  </si>
  <si>
    <t>Open Space (ORS 308.770)</t>
  </si>
  <si>
    <t>Historic Property (ORS 358.525)</t>
  </si>
  <si>
    <t>Other ________________________________________</t>
  </si>
  <si>
    <t>Late Filing Fee County Only (ORS 308.302)</t>
  </si>
  <si>
    <t>Roll Corrections (ORS 311.206), incl. omitted property/other roll corrections, but excl. roll corrections under ORS 311.208.</t>
  </si>
  <si>
    <t>TOTAL ADDITIONAL TAXES/PENALTIES (lines 29 thru 37)</t>
  </si>
  <si>
    <t>TOTAL TO BE RECEIVED (line 28 plus line 38)</t>
  </si>
  <si>
    <t>Percentage Schedule (ORS 311.390) [OPTIONAL, SEE INSTRUCTIONS]</t>
  </si>
  <si>
    <t xml:space="preserve">* If district has multiple Local Option or Bond levies,  please show each levy on a separate 4a page (see instructions about combining in some cases). </t>
  </si>
  <si>
    <r>
      <t>** For urban renewal special levies, enter zero on this line:  excess value</t>
    </r>
    <r>
      <rPr>
        <sz val="12"/>
        <rFont val="Arial"/>
        <family val="2"/>
      </rPr>
      <t xml:space="preserve"> is </t>
    </r>
    <r>
      <rPr>
        <b/>
        <sz val="12"/>
        <rFont val="Arial"/>
        <family val="2"/>
      </rPr>
      <t>not</t>
    </r>
    <r>
      <rPr>
        <sz val="12"/>
        <rFont val="Arial"/>
        <family val="2"/>
      </rPr>
      <t xml:space="preserve"> subtracted.</t>
    </r>
  </si>
  <si>
    <t>*** Line 12/Line 17 computation applies ONLY to dollar levies; if district has a rate levy, enter the tax rate certified.</t>
  </si>
  <si>
    <t>**** Enter only the district or U.R. special levy compression loss.  Urban renewal division of tax compression loss is reported on table 4e. See instructions.</t>
  </si>
  <si>
    <t>LIBFRLD-B</t>
  </si>
  <si>
    <t>County 2016–17 2017–18 2018–19* 2019–20* 2020–21*</t>
  </si>
  <si>
    <t>Lane 94.8% 95.6% 95.6% 95.4% 95.7%</t>
  </si>
  <si>
    <t>Potential purchase of nearby property</t>
  </si>
  <si>
    <t>FERN RIDGE LIBRARY DISTRICT</t>
  </si>
  <si>
    <t/>
  </si>
  <si>
    <t>AFTER</t>
  </si>
  <si>
    <t>Spent to date</t>
  </si>
  <si>
    <t>Computers/Monitors/Printers</t>
  </si>
  <si>
    <t>Door Locks</t>
  </si>
  <si>
    <t>Tax Collections 5 year percentage</t>
  </si>
  <si>
    <t>2/year weeding in front area</t>
  </si>
  <si>
    <t>Blackstone Publishing</t>
  </si>
  <si>
    <t>Ingram Library Services</t>
  </si>
  <si>
    <t>Amazon (Key Bank)</t>
  </si>
  <si>
    <t>Target (Citibank)</t>
  </si>
  <si>
    <t>Paper</t>
  </si>
  <si>
    <t>Lane Council of Governments</t>
  </si>
  <si>
    <t>Fern Ridge Chamber of Commerce</t>
  </si>
  <si>
    <t>Special Districts Association of OR</t>
  </si>
  <si>
    <t>Amazon Prime</t>
  </si>
  <si>
    <t>Costco Annual Renewal</t>
  </si>
  <si>
    <t>American Library Association PLA Dues</t>
  </si>
  <si>
    <t>Replace old Server</t>
  </si>
  <si>
    <t xml:space="preserve">Bluehost </t>
  </si>
  <si>
    <t>Weebly</t>
  </si>
  <si>
    <t>Publish budget LB1</t>
  </si>
  <si>
    <t>2 budget Meeting Notices</t>
  </si>
  <si>
    <t>Winterize fire sprinkler system</t>
  </si>
  <si>
    <t>Fire extinguisher service</t>
  </si>
  <si>
    <t>Furnace Filters Merv13</t>
  </si>
  <si>
    <t>Quarterly Maintenance HVAC</t>
  </si>
  <si>
    <t>Registration PLD Directors Mtg</t>
  </si>
  <si>
    <t>OLA conference Registration</t>
  </si>
  <si>
    <t>PNBA Lodging and Meals</t>
  </si>
  <si>
    <t>AT&amp;T</t>
  </si>
  <si>
    <t>Conference mileage</t>
  </si>
  <si>
    <t>CriCut</t>
  </si>
  <si>
    <t>Crafting Supplies</t>
  </si>
  <si>
    <t>Amazon various purchases</t>
  </si>
  <si>
    <t>Annual Testing - April</t>
  </si>
  <si>
    <t>COVID Related test, bags, wipes, sanitizer</t>
  </si>
  <si>
    <t>Masks, Gloves</t>
  </si>
  <si>
    <t>Disinfectant Wipes $30 containers 4/year</t>
  </si>
  <si>
    <t>Other: Soap, tests, etc.</t>
  </si>
  <si>
    <t>LGIP Transaction Fee</t>
  </si>
  <si>
    <t>Banner Bank Monthly Service Charges</t>
  </si>
  <si>
    <t>LGIP</t>
  </si>
  <si>
    <t>Springfield Library Courier Service</t>
  </si>
  <si>
    <t xml:space="preserve">OCLC Annual WorldShare Subscription </t>
  </si>
  <si>
    <t xml:space="preserve">Target, Amazon, Costco: Cleaning Supplies </t>
  </si>
  <si>
    <t>Repair, other maintenance</t>
  </si>
  <si>
    <t>Supplies</t>
  </si>
  <si>
    <t>Motion Picture Licensing</t>
  </si>
  <si>
    <t>Annual Umbrella License</t>
  </si>
  <si>
    <t>Programs prizes, gift cards</t>
  </si>
  <si>
    <t>Totals to date</t>
  </si>
  <si>
    <t>Quill Supplies</t>
  </si>
  <si>
    <t>These are contracted costs</t>
  </si>
  <si>
    <t xml:space="preserve">Annual Magazines </t>
  </si>
  <si>
    <t xml:space="preserve">Annual membership </t>
  </si>
  <si>
    <t xml:space="preserve">Annual Member Dues </t>
  </si>
  <si>
    <t xml:space="preserve">Annual Membership </t>
  </si>
  <si>
    <t>7180 · Buildings and Property Purchase</t>
  </si>
  <si>
    <t>7050 · Other Equip Capital Exp</t>
  </si>
  <si>
    <t>Annual Electronic Resource</t>
  </si>
  <si>
    <t>other</t>
  </si>
  <si>
    <t>5025 - PERS</t>
  </si>
  <si>
    <t>Call Outs - 6 @ $50/each</t>
  </si>
  <si>
    <t>To Date</t>
  </si>
  <si>
    <t>Other Postage</t>
  </si>
  <si>
    <t>Salary Schedule - O.S.E.A. Positions</t>
  </si>
  <si>
    <t xml:space="preserve">Effective:  </t>
  </si>
  <si>
    <t>Step 1</t>
  </si>
  <si>
    <t>Step 2</t>
  </si>
  <si>
    <t>Step 3</t>
  </si>
  <si>
    <t>Step 4</t>
  </si>
  <si>
    <t>Step 5</t>
  </si>
  <si>
    <t>Step 6</t>
  </si>
  <si>
    <t>Step 7</t>
  </si>
  <si>
    <t>Step 8</t>
  </si>
  <si>
    <t>Step 9</t>
  </si>
  <si>
    <t>Step 10</t>
  </si>
  <si>
    <t>Step 15</t>
  </si>
  <si>
    <t>Step 20</t>
  </si>
  <si>
    <t>Step 25</t>
  </si>
  <si>
    <t>Step 30</t>
  </si>
  <si>
    <t>Range</t>
  </si>
  <si>
    <t>Library Clerk</t>
  </si>
  <si>
    <t>Vacant Range</t>
  </si>
  <si>
    <t>Library Asst 1</t>
  </si>
  <si>
    <t>Youth Services Coordinator</t>
  </si>
  <si>
    <t>Library Asst 2 / Volunteer Coordinator</t>
  </si>
  <si>
    <t>Assistant Director</t>
  </si>
  <si>
    <t>Anticipated</t>
  </si>
  <si>
    <t>Electronic Register Guard</t>
  </si>
  <si>
    <t>Anticipated through June 30</t>
  </si>
  <si>
    <t xml:space="preserve">Box rental </t>
  </si>
  <si>
    <t>Leahy, Cox &amp; Melendy, LLP</t>
  </si>
  <si>
    <t>AT&amp;T Cell Phone</t>
  </si>
  <si>
    <t>AT&amp;T Cell Phone to June 30</t>
  </si>
  <si>
    <t>Hunter Communications to June 30</t>
  </si>
  <si>
    <t xml:space="preserve">Call Out </t>
  </si>
  <si>
    <t>Carpet Cleaning</t>
  </si>
  <si>
    <t>5024 - Employee Insurance</t>
  </si>
  <si>
    <t>Skipping Stones</t>
  </si>
  <si>
    <t>Sports Illustrated</t>
  </si>
  <si>
    <t xml:space="preserve">EPUD </t>
  </si>
  <si>
    <t>Monthly Dues $15</t>
  </si>
  <si>
    <t>Board meeting notices</t>
  </si>
  <si>
    <t>360 Electric Replace bulbs/strips</t>
  </si>
  <si>
    <t>Mobile App Share</t>
  </si>
  <si>
    <t xml:space="preserve">Thompson Landscaping </t>
  </si>
  <si>
    <t>Weed pulling</t>
  </si>
  <si>
    <t>Monthly Art Exhibit Open House</t>
  </si>
  <si>
    <t>Eugene Weekly</t>
  </si>
  <si>
    <t>Program Artists</t>
  </si>
  <si>
    <t>Various Items</t>
  </si>
  <si>
    <t>Total Personnel Services</t>
  </si>
  <si>
    <t>Personnel Services</t>
  </si>
  <si>
    <t>Materials &amp; Services</t>
  </si>
  <si>
    <t>Total Materials &amp; Services</t>
  </si>
  <si>
    <t>SDAO Conference</t>
  </si>
  <si>
    <t>Epic Seconds</t>
  </si>
  <si>
    <t>Amazon DVD's</t>
  </si>
  <si>
    <t xml:space="preserve">Showcases DVD/CD </t>
  </si>
  <si>
    <t>Demco</t>
  </si>
  <si>
    <t>Effective July 1, 2023, wages across all classifications shall be increased by the average of the twelve monthly percentage increases reported in the CPI-W, West, Size Class B/C, from February 2022 through January, 2023 with a minimum of 3.0% and a maximum of 6.0%. https://www.bls.gov/regions/west/data/xg-tables/ro9xg01.htm</t>
  </si>
  <si>
    <t>Director CR</t>
  </si>
  <si>
    <t>Assistant Director LB</t>
  </si>
  <si>
    <t>Lib Assistant 1 GP</t>
  </si>
  <si>
    <t>Lib Assist 2/Volnt Coord MT</t>
  </si>
  <si>
    <t>Business Manager</t>
  </si>
  <si>
    <t>Library Clerk HO</t>
  </si>
  <si>
    <t xml:space="preserve">Step </t>
  </si>
  <si>
    <r>
      <t xml:space="preserve">UAL Contrib </t>
    </r>
    <r>
      <rPr>
        <b/>
        <sz val="10"/>
        <color rgb="FFFF0000"/>
        <rFont val="Arial"/>
        <family val="2"/>
      </rPr>
      <t>0%</t>
    </r>
  </si>
  <si>
    <t>5026 - Non Direct Payroll benefits (Medical)</t>
  </si>
  <si>
    <t>State Workers Benefit Fund Employer Portion 1.1%</t>
  </si>
  <si>
    <t>Demco Bookmarks</t>
  </si>
  <si>
    <t>install software, computers</t>
  </si>
  <si>
    <t>Program Supplies</t>
  </si>
  <si>
    <t>InterLibrary Loan Postage</t>
  </si>
  <si>
    <t>As Required</t>
  </si>
  <si>
    <t>5024 - Work Comp Policy</t>
  </si>
  <si>
    <t>5022 - Employer Payroll taxes</t>
  </si>
  <si>
    <t>EMPLOYER PAID BENEFITS</t>
  </si>
  <si>
    <t xml:space="preserve">Other </t>
  </si>
  <si>
    <t>Smithsonian (exp 1/2024)</t>
  </si>
  <si>
    <t>Youth Service Coordinator NM</t>
  </si>
  <si>
    <t>SDID Longevity Credit</t>
  </si>
  <si>
    <t>Various items/Snacks</t>
  </si>
  <si>
    <t>Baxter Plumbing Drain Cleaning/toilet repair</t>
  </si>
  <si>
    <t xml:space="preserve">Sanipac </t>
  </si>
  <si>
    <t>Hunter Comm</t>
  </si>
  <si>
    <t>Hours in month</t>
  </si>
  <si>
    <t>5026 - Indirect Benefit-Medical Reimbursement</t>
  </si>
  <si>
    <t xml:space="preserve">              FY2023-2024 WAGE RATES AND STEPS </t>
  </si>
  <si>
    <t>7/1/2023 - 6/30/2024</t>
  </si>
  <si>
    <t>Longevity Pay. Effective July 1, 2022, the base wages of employees employed</t>
  </si>
  <si>
    <t>HO/MH</t>
  </si>
  <si>
    <t>continuously by the District in bargaining unit classifications for at least 15 years</t>
  </si>
  <si>
    <t>shall be increased by 5.0%. Thereafter, the base wages of employees in</t>
  </si>
  <si>
    <t>bargaining unit classifications who reach their anniversaries of continuous</t>
  </si>
  <si>
    <t>employment of 15, 20, 25 or 30 years shall, on July 1 following the anniversary</t>
  </si>
  <si>
    <t xml:space="preserve"> GP</t>
  </si>
  <si>
    <t>of each such interval, be increased by 5.0%. These increases shall be in</t>
  </si>
  <si>
    <t>addition to any cost-of-living-adjustments to their wages.</t>
  </si>
  <si>
    <t xml:space="preserve"> NM </t>
  </si>
  <si>
    <t xml:space="preserve"> MT </t>
  </si>
  <si>
    <t xml:space="preserve"> LB </t>
  </si>
  <si>
    <t>Start:  June 25, 2007</t>
  </si>
  <si>
    <t>15 years</t>
  </si>
  <si>
    <t>20 years</t>
  </si>
  <si>
    <t>Area</t>
  </si>
  <si>
    <t>West - Size Class B/C (2.5 million or less)(2)</t>
  </si>
  <si>
    <t>Mar</t>
  </si>
  <si>
    <t>Apr</t>
  </si>
  <si>
    <t>May</t>
  </si>
  <si>
    <t>Jun</t>
  </si>
  <si>
    <t>Jul</t>
  </si>
  <si>
    <t>Aug</t>
  </si>
  <si>
    <t>Sep</t>
  </si>
  <si>
    <t>Nov</t>
  </si>
  <si>
    <t>Dec</t>
  </si>
  <si>
    <t>Average of 12 month Percentage increases Feb 2022-Jan 2023</t>
  </si>
  <si>
    <t>SDAO Conference Registration</t>
  </si>
  <si>
    <t>5 room x 3 nights = 15 nights @ $190/night</t>
  </si>
  <si>
    <t>5 vehicles 300 RT x $0.60/mile</t>
  </si>
  <si>
    <t xml:space="preserve">Zoom </t>
  </si>
  <si>
    <t>6200 · Rentals Safe Deposit &amp; PO Box</t>
  </si>
  <si>
    <t>HISTORY</t>
  </si>
  <si>
    <t>Union Negotiations</t>
  </si>
  <si>
    <t>COVID</t>
  </si>
  <si>
    <t>COVID Closures</t>
  </si>
  <si>
    <t>Jul 18 - Jun 19</t>
  </si>
  <si>
    <t>Jul 19 - Jun 20</t>
  </si>
  <si>
    <t>Jul 20 - Jun 21</t>
  </si>
  <si>
    <t>Jul 21 - Jun 22</t>
  </si>
  <si>
    <t>Jul 22 - Jun 23</t>
  </si>
  <si>
    <t>Front Garden/Oak tree removal</t>
  </si>
  <si>
    <t>InterLibrary Loan Postage to June 30</t>
  </si>
  <si>
    <t>$50 x 12</t>
  </si>
  <si>
    <t>American Library Assoc Organizational Member</t>
  </si>
  <si>
    <t>2 candidates, Levy</t>
  </si>
  <si>
    <t>no candidates</t>
  </si>
  <si>
    <t>Other - Election, etc.</t>
  </si>
  <si>
    <t>Chamber Lunches CR, LB</t>
  </si>
  <si>
    <t>SDAO Conference- Employees registration</t>
  </si>
  <si>
    <t>Snacks, memberships, misc. expenses</t>
  </si>
  <si>
    <t>Misc. Supplies</t>
  </si>
  <si>
    <t>Amazon misc. supplies</t>
  </si>
  <si>
    <t>Annual Telephone - approx. $375/month</t>
  </si>
  <si>
    <t>batteries, Misc.</t>
  </si>
  <si>
    <t>Various patron safety - bags, etc.</t>
  </si>
  <si>
    <t>Lane ESD Courier July</t>
  </si>
  <si>
    <t>Holiday Thank you</t>
  </si>
  <si>
    <t>New vendor-higher rate</t>
  </si>
  <si>
    <t>Misc. Computer assistance</t>
  </si>
  <si>
    <t>Program Snacks, Water, etc.</t>
  </si>
  <si>
    <t>4400 Misc.</t>
  </si>
  <si>
    <t>4400 · Misc. Income</t>
  </si>
  <si>
    <t>Purchase of adjacent property</t>
  </si>
  <si>
    <t>4520 · Transfers In</t>
  </si>
  <si>
    <t xml:space="preserve"> Date</t>
  </si>
  <si>
    <t xml:space="preserve">Beginning Balance   </t>
  </si>
  <si>
    <t>balance</t>
  </si>
  <si>
    <t>Additions</t>
  </si>
  <si>
    <t>Payroll, A/P</t>
  </si>
  <si>
    <t>Tax Revenue</t>
  </si>
  <si>
    <t>OLA Conference</t>
  </si>
  <si>
    <t xml:space="preserve">OLA Conference </t>
  </si>
  <si>
    <t>SDAO trainings</t>
  </si>
  <si>
    <t>Business Manager recruitment</t>
  </si>
  <si>
    <t>OCLC CatExpress Individual Titles</t>
  </si>
  <si>
    <t>Other Budgeted Income</t>
  </si>
  <si>
    <t>Blink</t>
  </si>
  <si>
    <t>History</t>
  </si>
  <si>
    <t>Line Item 4070 explained</t>
  </si>
  <si>
    <t>Housing And Community Services Agency (HACSA) of Lane County</t>
  </si>
  <si>
    <t>FY18-19</t>
  </si>
  <si>
    <t>FY 19-20</t>
  </si>
  <si>
    <t>FY20-21</t>
  </si>
  <si>
    <t>FY 21-22</t>
  </si>
  <si>
    <t xml:space="preserve">  Pricing Summary – Mobility</t>
  </si>
  <si>
    <t>Description</t>
  </si>
  <si>
    <t>Quantity</t>
  </si>
  <si>
    <t>Data Service</t>
  </si>
  <si>
    <t>Bridging Communities Unlimited Data Rate Plan</t>
  </si>
  <si>
    <t>Content Filtering</t>
  </si>
  <si>
    <t>AccessMyLAN</t>
  </si>
  <si>
    <t>Taxes &amp; Fees</t>
  </si>
  <si>
    <t>Total Monthly Recurring Costs</t>
  </si>
  <si>
    <t>6420 - Bridging Communities Program</t>
  </si>
  <si>
    <t>4Imprint tote bags</t>
  </si>
  <si>
    <t>CriCut subscription</t>
  </si>
  <si>
    <t>Mobile Hot Spots for loan</t>
  </si>
  <si>
    <t xml:space="preserve">Stamps </t>
  </si>
  <si>
    <t>*Digital access/downloads have increased and anticipated cost will raise for this year</t>
  </si>
  <si>
    <t>Annual Dues CRRegular membership CR/PLA</t>
  </si>
  <si>
    <t>Water and Sewer ($400/month)</t>
  </si>
  <si>
    <t>Monthly Cell Phone @$75/month</t>
  </si>
  <si>
    <t>per month average</t>
  </si>
  <si>
    <t>OLA Conference Bend Meals/mileage</t>
  </si>
  <si>
    <t>Friends reimbursed for per print cost of calendars</t>
  </si>
  <si>
    <t>printing the calendars</t>
  </si>
  <si>
    <t>Friends of Library reimburses for 1/2 cost of</t>
  </si>
  <si>
    <t>the Friends of the Library</t>
  </si>
  <si>
    <t>1/4 of these expenses are covered by</t>
  </si>
  <si>
    <t>Proposed Budget</t>
  </si>
  <si>
    <t>Interest</t>
  </si>
  <si>
    <t>FY 23-24 Budget</t>
  </si>
  <si>
    <t>FY 24-25 Proposed</t>
  </si>
  <si>
    <t>6/30/2024 Projection</t>
  </si>
  <si>
    <t>Budgeted Expense FY 23-24</t>
  </si>
  <si>
    <t>Actual Expenses FY 2023-2024</t>
  </si>
  <si>
    <t>FY 22-23</t>
  </si>
  <si>
    <t>5 year Average</t>
  </si>
  <si>
    <t>Lane County Tax Estimate for 2024-2025</t>
  </si>
  <si>
    <t>Payroll 7/1/2024 to 6/30/2025</t>
  </si>
  <si>
    <t>FY 2023-2024 Wage</t>
  </si>
  <si>
    <t xml:space="preserve">              FY2024-2025 WAGE RATES AND STEPS </t>
  </si>
  <si>
    <t>7/1/2024 - 6/30/2025</t>
  </si>
  <si>
    <t>May 2025 Election</t>
  </si>
  <si>
    <t>Due Jan 2025</t>
  </si>
  <si>
    <t>Springfield Public Library 7/1/23-6/30/24 SIRSI</t>
  </si>
  <si>
    <t>July 2024-June 2025</t>
  </si>
  <si>
    <t>Jan 2025-Dec 2027</t>
  </si>
  <si>
    <t xml:space="preserve">SDAO Training </t>
  </si>
  <si>
    <t>Jul 23 - to date</t>
  </si>
  <si>
    <t>Foundation Newsletter 2024</t>
  </si>
  <si>
    <t xml:space="preserve">3/1/2025-2/28/2026 Cybrarian annual license </t>
  </si>
  <si>
    <t>July 2023-June 2024 Monitoring Service</t>
  </si>
  <si>
    <t>Blue Host Domain Name</t>
  </si>
  <si>
    <t>3-14-2026</t>
  </si>
  <si>
    <t>Jul 23 - Jun 24</t>
  </si>
  <si>
    <t>for FY 2024-2025</t>
  </si>
  <si>
    <t>1/1/2024 Estimated Assessed Value</t>
  </si>
  <si>
    <r>
      <t xml:space="preserve">Oregon's current minimum wage is </t>
    </r>
    <r>
      <rPr>
        <b/>
        <sz val="10"/>
        <color theme="1"/>
        <rFont val="Arial"/>
        <family val="2"/>
      </rPr>
      <t>$14.20 per hour</t>
    </r>
    <r>
      <rPr>
        <sz val="10"/>
        <color theme="1"/>
        <rFont val="Arial"/>
        <family val="2"/>
      </rPr>
      <t xml:space="preserve"> in July 2023. </t>
    </r>
  </si>
  <si>
    <t>Agenda</t>
  </si>
  <si>
    <t>FY 2023-2024 Actual costs to date</t>
  </si>
  <si>
    <t>6410 · Community Programs</t>
  </si>
  <si>
    <t xml:space="preserve">6491 · Youth-General </t>
  </si>
  <si>
    <t>2024-2025</t>
  </si>
  <si>
    <t>Special Reserve Fund</t>
  </si>
  <si>
    <t>4007 · Beginning fund balance</t>
  </si>
  <si>
    <t>4200 - Donations</t>
  </si>
  <si>
    <t>4030 - Interest</t>
  </si>
  <si>
    <t>Unappropriated Ending Fund Balance</t>
  </si>
  <si>
    <t>EBSCO 2023-2024 Annual Magazine subscription</t>
  </si>
  <si>
    <t>InterLibrary Loan Supplies</t>
  </si>
  <si>
    <t>Summer adult programs</t>
  </si>
  <si>
    <t>review annual CPA audit letter</t>
  </si>
  <si>
    <t>Do Not Budget for this</t>
  </si>
  <si>
    <t xml:space="preserve">1/1/24 Audit Fees </t>
  </si>
  <si>
    <t>Expenditures total $500,000-$1,000,000</t>
  </si>
  <si>
    <t>Expenditures total 1mill-5 mill</t>
  </si>
  <si>
    <t>Expenditures are Total Expenditures from all 3 funds combined</t>
  </si>
  <si>
    <t xml:space="preserve">To Date = </t>
  </si>
  <si>
    <t>LI Breakdown (6010-6493 tab)</t>
  </si>
  <si>
    <t>Reserve Fund Capital Outlay</t>
  </si>
  <si>
    <t>LI Breakdown 7010-7180</t>
  </si>
  <si>
    <t>LI Breakdown</t>
  </si>
  <si>
    <t>Withdrawals</t>
  </si>
  <si>
    <t>File in first 6 months from bank statements, then calculate out using current interest rate and anticipated deposit/withdrawals</t>
  </si>
  <si>
    <t>Projected FY 2023-2024</t>
  </si>
  <si>
    <t>FY24-25 Est</t>
  </si>
  <si>
    <t>For 7/1/2024: Adjusted annually based on the increase, if any, to the US City average Consumer Price Index for All Urban Consumers</t>
  </si>
  <si>
    <t>Increase in 2024-2025</t>
  </si>
  <si>
    <t>Library Clerk MH 20/wk</t>
  </si>
  <si>
    <t>COLA % increase =</t>
  </si>
  <si>
    <t>Blackstone</t>
  </si>
  <si>
    <t>3 candidates</t>
  </si>
  <si>
    <t>5022 · Employer Payroll Taxes</t>
  </si>
  <si>
    <t>Budget</t>
  </si>
  <si>
    <t>PBNA</t>
  </si>
  <si>
    <t>COSHA-Sept Bend, OR</t>
  </si>
  <si>
    <t>Ingram/Reading Warehouse</t>
  </si>
  <si>
    <t>Reading Warehouse</t>
  </si>
  <si>
    <t>Oregon Hunters Association (exp 10/23)</t>
  </si>
  <si>
    <t>Wall Street Journal (exp 2/2024)</t>
  </si>
  <si>
    <t>Feb 2025-Feb 2026</t>
  </si>
  <si>
    <t>Thrasher (2 years)</t>
  </si>
  <si>
    <t>Snacks</t>
  </si>
  <si>
    <t>Friends Reimbursement</t>
  </si>
  <si>
    <t>Eugene Symphony</t>
  </si>
  <si>
    <t xml:space="preserve">Apple 2020 MacBook Air Laptop </t>
  </si>
  <si>
    <t>CyberPower UPS System</t>
  </si>
  <si>
    <t>Whirlpool Dishwasher</t>
  </si>
  <si>
    <t>not renewed until 1/2026</t>
  </si>
  <si>
    <t xml:space="preserve">During times when the SDIS Trust sees a surplus in investment earnings, the Longevity Credit and Rate Lock Guarantee program is used to give back to members in the form of longevity credits and rate locks. Since its inception 14 years ago, the Trust has returned $13.5 million dollars to eligible members. </t>
  </si>
  <si>
    <t>As we shared with you in your district’s renewal update packet, the last two fiscal years saw investment returns dip below targeted levels. As a result, the Trust has decided to put the Longevity Credit and Rate Lock Guarantee Program on hold until investment earnings return to levels we have seen in the past.</t>
  </si>
  <si>
    <t>From: SDAO Underwriting Department [mailto:underwriting@sdao.com]</t>
  </si>
  <si>
    <t>Sent: Friday, November 17, 2023 3:41 PM</t>
  </si>
  <si>
    <t>To: lesley@fernridgelibrary.org</t>
  </si>
  <si>
    <t>Subject: Member Longevity Credit and Rate Lock Guarantee Program Update</t>
  </si>
  <si>
    <t>EPUD rates increased 5% 1/1/2024</t>
  </si>
  <si>
    <t>Conference Airfare</t>
  </si>
  <si>
    <t>no average-contracted rate</t>
  </si>
  <si>
    <t>increase over prior year</t>
  </si>
  <si>
    <t>varies too much to average costs</t>
  </si>
  <si>
    <t>change over prior year</t>
  </si>
  <si>
    <t>no average-specified rate</t>
  </si>
  <si>
    <t>Solar panels installation</t>
  </si>
  <si>
    <t>no average - nonrecurring expense</t>
  </si>
  <si>
    <t>too skewed to average</t>
  </si>
  <si>
    <t>Register Guard-News bank</t>
  </si>
  <si>
    <t>Kapco Book covers, +</t>
  </si>
  <si>
    <t>LB Misc. Supplies</t>
  </si>
  <si>
    <t>$35/mo.</t>
  </si>
  <si>
    <t>Executive Cleaning $958/mo.</t>
  </si>
  <si>
    <t>contracted rate $409.49/mo. 1/2023</t>
  </si>
  <si>
    <t>no average - contracted rate</t>
  </si>
  <si>
    <t>Monthly $750 (1/1/24 increase fees)</t>
  </si>
  <si>
    <t>COVID supplies</t>
  </si>
  <si>
    <t>New Copier</t>
  </si>
  <si>
    <t>Overdrive/Advantage</t>
  </si>
  <si>
    <t>Cybrarian annual license (Paid 3/2024)</t>
  </si>
  <si>
    <t>Effective July 1, 2023, wages across all classifications shall be increased by the average of the twelve monthly percentage increases reported in the CPI-W, West, Size Class B/C, from February 2023 through January, 2024 with a minimum of 3.0% and a maximum of 6.0%. https://www.bls.gov/regions/west/data/xg-tables/ro9xg01.htm</t>
  </si>
  <si>
    <t>Average of 12 month Percentage increases Feb 2023-Jan 2024</t>
  </si>
  <si>
    <t>https://data.bls.gov/timeseries/CUURN400SA0?amp%253bdata_tool=XGtable&amp;output_view=data&amp;include_graphs=true</t>
  </si>
  <si>
    <t>Contract</t>
  </si>
  <si>
    <t>Per actuary report = 17.12%</t>
  </si>
  <si>
    <r>
      <t xml:space="preserve">OPSRP Pension </t>
    </r>
    <r>
      <rPr>
        <b/>
        <sz val="10"/>
        <color rgb="FFFF0000"/>
        <rFont val="Arial"/>
        <family val="2"/>
      </rPr>
      <t>17.12%</t>
    </r>
  </si>
  <si>
    <t>DUES CALCULATION CHANGES</t>
  </si>
  <si>
    <t>With the change of removing workers’ compensation coverage from the SDIS program, we felt</t>
  </si>
  <si>
    <t>this would be a good time to re-evaluate the dues calculation and structure. Beginning with the</t>
  </si>
  <si>
    <t>2025 calendar year, SDAO will return to a budget-based dues formula.</t>
  </si>
  <si>
    <t>In January, we will be sending out notices to all members with the new dues calculation</t>
  </si>
  <si>
    <t>including what your exact dues amount will be. Many members will see an increase from</t>
  </si>
  <si>
    <t>previous years – some more substantial than others. Other districts may see no impact or even a</t>
  </si>
  <si>
    <t>substantial decrease. We understand that this can make a significant impact on your budgeting,</t>
  </si>
  <si>
    <t>so we are hopeful that communicating this to you before budget discussions begin will help</t>
  </si>
  <si>
    <t>with the process</t>
  </si>
  <si>
    <t>Small Farmer's Journal</t>
  </si>
  <si>
    <t>Small Farmer's Journal 3 year</t>
  </si>
  <si>
    <t>Etsy</t>
  </si>
  <si>
    <t>Beacock Music</t>
  </si>
  <si>
    <t>Shelfwiz</t>
  </si>
  <si>
    <t>Petty Cash</t>
  </si>
  <si>
    <t>SDAO Conference Room</t>
  </si>
  <si>
    <t>Chicago Book</t>
  </si>
  <si>
    <t>Annual membership ($10/employee)</t>
  </si>
  <si>
    <t>ID Label/Label City</t>
  </si>
  <si>
    <t>Remove Oak Tree</t>
  </si>
  <si>
    <t>Foundation Newsletter 2023</t>
  </si>
  <si>
    <t xml:space="preserve">Library Clerk WT </t>
  </si>
  <si>
    <t>Payroll ACTUAL TO DATE</t>
  </si>
  <si>
    <t>Feb 2025 6 members-Bend, OR</t>
  </si>
  <si>
    <t>Mileage Rate for 2024 .67/mile</t>
  </si>
  <si>
    <t>The following magazines we’ve previously had to order directly are now once again available for renewal through Ebsco:</t>
  </si>
  <si>
    <r>
      <t>·</t>
    </r>
    <r>
      <rPr>
        <sz val="7"/>
        <color theme="1"/>
        <rFont val="Times New Roman"/>
        <family val="1"/>
      </rPr>
      <t xml:space="preserve">         </t>
    </r>
    <r>
      <rPr>
        <sz val="11"/>
        <color theme="1"/>
        <rFont val="Calibri"/>
        <family val="2"/>
      </rPr>
      <t>Oregon Hunter</t>
    </r>
  </si>
  <si>
    <r>
      <t>·</t>
    </r>
    <r>
      <rPr>
        <sz val="7"/>
        <color theme="1"/>
        <rFont val="Times New Roman"/>
        <family val="1"/>
      </rPr>
      <t xml:space="preserve">         </t>
    </r>
    <r>
      <rPr>
        <sz val="11"/>
        <color theme="1"/>
        <rFont val="Calibri"/>
        <family val="2"/>
      </rPr>
      <t>Smithsonian</t>
    </r>
  </si>
  <si>
    <r>
      <t>·</t>
    </r>
    <r>
      <rPr>
        <sz val="7"/>
        <color theme="1"/>
        <rFont val="Times New Roman"/>
        <family val="1"/>
      </rPr>
      <t xml:space="preserve">         </t>
    </r>
    <r>
      <rPr>
        <sz val="11"/>
        <color theme="1"/>
        <rFont val="Calibri"/>
        <family val="2"/>
      </rPr>
      <t>Sports Illustrated</t>
    </r>
  </si>
  <si>
    <r>
      <t>·</t>
    </r>
    <r>
      <rPr>
        <sz val="7"/>
        <color theme="1"/>
        <rFont val="Times New Roman"/>
        <family val="1"/>
      </rPr>
      <t xml:space="preserve">         </t>
    </r>
    <r>
      <rPr>
        <sz val="11"/>
        <color theme="1"/>
        <rFont val="Calibri"/>
        <family val="2"/>
      </rPr>
      <t>Skipping Stones (teen magazine)</t>
    </r>
  </si>
  <si>
    <t>I’ve added those four titles to our renewal cart on Ebsco with a start date of 7/1/2024, so they won’t need to be renewed directly anymore.</t>
  </si>
  <si>
    <t>From: meli@fernridgelibrary.org [mailto:meli@fernridgelibrary.org]</t>
  </si>
  <si>
    <t>Sent: Friday, February 16, 2024 9:53 AM</t>
  </si>
  <si>
    <t>Subject: Magazine updates</t>
  </si>
  <si>
    <t>SDAO Conference Hotel/Meals</t>
  </si>
  <si>
    <t>2 members</t>
  </si>
  <si>
    <t>2 members 6 nights total @ $150/night</t>
  </si>
  <si>
    <t>2 members mileage 300 RT $0.67/mile</t>
  </si>
  <si>
    <t>2 members non covered meals</t>
  </si>
  <si>
    <t>HR Answers</t>
  </si>
  <si>
    <t>$165/month</t>
  </si>
  <si>
    <t>Survey Monkey</t>
  </si>
  <si>
    <t>Thinkpads, Think Vision, Think Station</t>
  </si>
  <si>
    <t>Combined Funds Total</t>
  </si>
  <si>
    <t>9/1/2023-9/30/2023</t>
  </si>
  <si>
    <t>10/1/2023-10/31/2023</t>
  </si>
  <si>
    <t>11/1/2023-11/30/2023</t>
  </si>
  <si>
    <t>12/1/2023-12/31/2023</t>
  </si>
  <si>
    <t>1/1/2024-1/31/2024</t>
  </si>
  <si>
    <t>7/1/2023-7/31/2023</t>
  </si>
  <si>
    <t>8/1/2023-8/31/2023</t>
  </si>
  <si>
    <t>LGIP 2 Portion that is Special Revenue Fund</t>
  </si>
  <si>
    <t>Payment</t>
  </si>
  <si>
    <t>7/1-7/20/2023</t>
  </si>
  <si>
    <t>7/21/2023-7/31/2023</t>
  </si>
  <si>
    <t>2/1/2024-2/29/2024</t>
  </si>
  <si>
    <t>Estimated interest rate</t>
  </si>
  <si>
    <t>balance less SRF</t>
  </si>
  <si>
    <t xml:space="preserve">Interest </t>
  </si>
  <si>
    <t>Portion for SRF</t>
  </si>
  <si>
    <t xml:space="preserve">Collection Rate at % </t>
  </si>
  <si>
    <t>Postage EBYA sale</t>
  </si>
  <si>
    <t>Rolls of stamps (12@ $66)</t>
  </si>
  <si>
    <t>Fiscal Year 2024 - 2025 Budget</t>
  </si>
  <si>
    <t>Amount</t>
  </si>
  <si>
    <t>Percent</t>
  </si>
  <si>
    <t>2021-2022</t>
  </si>
  <si>
    <t>2022-2023</t>
  </si>
  <si>
    <t>2023-2024</t>
  </si>
  <si>
    <t>HIDE LI</t>
  </si>
  <si>
    <t>Change from</t>
  </si>
  <si>
    <t>ACTUAL</t>
  </si>
  <si>
    <t>ADOPTED</t>
  </si>
  <si>
    <t>DESCRIPTION</t>
  </si>
  <si>
    <t>COULMN</t>
  </si>
  <si>
    <t>PROPOSED</t>
  </si>
  <si>
    <t>APPROVED</t>
  </si>
  <si>
    <t>GENERAL FUND</t>
  </si>
  <si>
    <t>RESOURCES</t>
  </si>
  <si>
    <t>Cash on Hand</t>
  </si>
  <si>
    <t>Prior Years Taxes</t>
  </si>
  <si>
    <t>Fees &amp; Fines</t>
  </si>
  <si>
    <t>Out of District Patrons</t>
  </si>
  <si>
    <t>In Lieu - Electric Co-op</t>
  </si>
  <si>
    <t>Interest Income</t>
  </si>
  <si>
    <t>4030/32/33</t>
  </si>
  <si>
    <t>Forest Products Revenue</t>
  </si>
  <si>
    <t>Total Resources - Except Taxes to be Levied</t>
  </si>
  <si>
    <t>TAXES RECEIVED</t>
  </si>
  <si>
    <t>TAXES NECESSARY TO BALANCE</t>
  </si>
  <si>
    <t xml:space="preserve"> TOTAL RESOURCES </t>
  </si>
  <si>
    <t>EXPENDITURES</t>
  </si>
  <si>
    <t>Salaries</t>
  </si>
  <si>
    <t>Benefits</t>
  </si>
  <si>
    <t>5022-26</t>
  </si>
  <si>
    <t xml:space="preserve">Unemployment </t>
  </si>
  <si>
    <t>Personnel Background Review</t>
  </si>
  <si>
    <t xml:space="preserve">   Total Personnel Services</t>
  </si>
  <si>
    <t>Books - Adult</t>
  </si>
  <si>
    <t>Books - Youth</t>
  </si>
  <si>
    <t>Audios &amp; Videos - Adult</t>
  </si>
  <si>
    <t>Audios &amp; Videos - Youth</t>
  </si>
  <si>
    <t>Electronic Resources</t>
  </si>
  <si>
    <t>Alarm System</t>
  </si>
  <si>
    <t>Audit</t>
  </si>
  <si>
    <t>Assessment: Oregon Ethics Comm</t>
  </si>
  <si>
    <t>Banking Fees</t>
  </si>
  <si>
    <t>Board Expenses</t>
  </si>
  <si>
    <t>Community Programs</t>
  </si>
  <si>
    <t>Computer Technical Assistance</t>
  </si>
  <si>
    <t>Copier Operations</t>
  </si>
  <si>
    <t>Custodial Contracted Services</t>
  </si>
  <si>
    <t>Custodial Supplies</t>
  </si>
  <si>
    <t>Dues</t>
  </si>
  <si>
    <t>Election Costs</t>
  </si>
  <si>
    <t xml:space="preserve">Electricity      </t>
  </si>
  <si>
    <t>Fire Extinguisher-Sprinkler Maintenance</t>
  </si>
  <si>
    <t>Garbage &amp; Recycling</t>
  </si>
  <si>
    <t>Grounds Maintenance</t>
  </si>
  <si>
    <t xml:space="preserve">HVAC System Maintenance </t>
  </si>
  <si>
    <t>Insurance:  Property, Fire, Liability, etc.</t>
  </si>
  <si>
    <t xml:space="preserve">Inter Library Loans </t>
  </si>
  <si>
    <t>Internet Fees</t>
  </si>
  <si>
    <t>Legal - Consulting</t>
  </si>
  <si>
    <t>Marketing</t>
  </si>
  <si>
    <t>OCLC Fees-Integrated Catalog</t>
  </si>
  <si>
    <t>Periodicals - Regular</t>
  </si>
  <si>
    <t>Printer Supplies</t>
  </si>
  <si>
    <t>Professional Services</t>
  </si>
  <si>
    <t>Public Notices</t>
  </si>
  <si>
    <t>Recruiting</t>
  </si>
  <si>
    <t>Rentals (PO-Safe Deposit Boxes)</t>
  </si>
  <si>
    <t>Repair / Maintain:  Bldg &amp; Equip</t>
  </si>
  <si>
    <t>Safety</t>
  </si>
  <si>
    <t>SIRSI Annual Fees  (Circulation)</t>
  </si>
  <si>
    <t>Software Updates</t>
  </si>
  <si>
    <t>Staff Development - Registration</t>
  </si>
  <si>
    <t>Staff Development -Travel</t>
  </si>
  <si>
    <t>Summer Reading Program - Adults</t>
  </si>
  <si>
    <t>Supplies - General</t>
  </si>
  <si>
    <t>Supplies - Makerspace</t>
  </si>
  <si>
    <t>Telephone</t>
  </si>
  <si>
    <t>Travel - non staff development</t>
  </si>
  <si>
    <t>Volunteers Recognition</t>
  </si>
  <si>
    <t>Water &amp; Sewer</t>
  </si>
  <si>
    <t>Web Site Fees</t>
  </si>
  <si>
    <t>Youth Services - (includes Summer Read)</t>
  </si>
  <si>
    <t>6491-93</t>
  </si>
  <si>
    <t xml:space="preserve">   Total Materials &amp; Services</t>
  </si>
  <si>
    <t>Transfer to Reserve Fund</t>
  </si>
  <si>
    <t>Contingency</t>
  </si>
  <si>
    <t>TOTAL EXPENDITURES</t>
  </si>
  <si>
    <t>FUND TOTALS</t>
  </si>
  <si>
    <t>Appropriations</t>
  </si>
  <si>
    <t>Donations and Grants</t>
  </si>
  <si>
    <t>Miscellaneous</t>
  </si>
  <si>
    <t>Difference</t>
  </si>
  <si>
    <t>QB</t>
  </si>
  <si>
    <t>Acct#</t>
  </si>
  <si>
    <t>RESERVE FUND</t>
  </si>
  <si>
    <t>Transfer from General Fund</t>
  </si>
  <si>
    <t>Foundation Grant(s)</t>
  </si>
  <si>
    <t>Construction or Acquisition of:</t>
  </si>
  <si>
    <t>Arts Capital Expense</t>
  </si>
  <si>
    <t>Building Maintenance Capital Expense</t>
  </si>
  <si>
    <t>Buildings and Property Purchase</t>
  </si>
  <si>
    <t>Electronic Equipment Capital Expense</t>
  </si>
  <si>
    <t xml:space="preserve">Other Equipment Capital Expense </t>
  </si>
  <si>
    <t>for Future Expenditure:</t>
  </si>
  <si>
    <t>Paving Reserve</t>
  </si>
  <si>
    <t>Carpet Reserve</t>
  </si>
  <si>
    <t>Roof Reserve</t>
  </si>
  <si>
    <t>Expansion Reserve</t>
  </si>
  <si>
    <t xml:space="preserve"> TOTAL REQUIREMENTS</t>
  </si>
  <si>
    <t>Total Reserve Fund</t>
  </si>
  <si>
    <t>Reserve fund</t>
  </si>
  <si>
    <t>A local government may set up a reserve fund to accumulate money for financing the cost of any service,</t>
  </si>
  <si>
    <t>project, property or equipment that the district can legally perform or acquire (ORS 294.346, renumbered from</t>
  </si>
  <si>
    <t>294.525). Under Local Budget Law, a reserve fund is a way to save money from year to year. Expenditures can</t>
  </si>
  <si>
    <t>be appropriated and made directly from a reserve fund.</t>
  </si>
  <si>
    <t>The resolution or ordinance creating a reserve fund should state the purpose for which the money in the fund</t>
  </si>
  <si>
    <r>
      <t>can be spent.</t>
    </r>
    <r>
      <rPr>
        <b/>
        <sz val="13"/>
        <rFont val="Times New Roman"/>
        <family val="1"/>
      </rPr>
      <t xml:space="preserve"> At least every 10 years after the establishment of a reserve fund, the governing body must review</t>
    </r>
  </si>
  <si>
    <t>the fund to decide if it should be continued or abolished. Any unexpended or unobligated balance left in the</t>
  </si>
  <si>
    <t>fund when it is abolished can be transferred to the general fund or any other fund designated by the governing</t>
  </si>
  <si>
    <t>body.</t>
  </si>
  <si>
    <t>Money in a reserve fund can only be used for the purpose for which the fund was established. Expenditures</t>
  </si>
  <si>
    <t>for that purpose may be budgeted and appropriated directly from the reserve fund. Transfers may not be made</t>
  </si>
  <si>
    <t>from a reserve fund unless the fund that receives the transfer uses the money for a purpose consistent with the</t>
  </si>
  <si>
    <t>purpose of the reserve fund. Interfund loans can be made from a reserve fund under ORS 294.468 (renumbered</t>
  </si>
  <si>
    <t>from 294.460).</t>
  </si>
  <si>
    <t xml:space="preserve">This fund was authorized by </t>
  </si>
  <si>
    <t>Resolution on June 9, 1994</t>
  </si>
  <si>
    <t>for Improvements of Building,</t>
  </si>
  <si>
    <t>Grounds and Equipment.</t>
  </si>
  <si>
    <t>Account reactivated Aug 2016</t>
  </si>
  <si>
    <t>SPECIAL REVENUE FUND</t>
  </si>
  <si>
    <t>Donations</t>
  </si>
  <si>
    <t>Bridging Communities Program</t>
  </si>
  <si>
    <t>Total Special Revenue Fund</t>
  </si>
  <si>
    <t>BUDGET MESSAGE</t>
  </si>
  <si>
    <t>Fiscal Year 2024-2025</t>
  </si>
  <si>
    <t>The proposed budget of the Fern Ridge Library District for the fiscal year beginning July 1, 2024 was prepared in accordance with Oregon budget law, instruction from the Board of Directors and input from staff.  It represents the best estimate of the resources and expenditures anticipated in the coming fiscal year.</t>
  </si>
  <si>
    <t xml:space="preserve">The district operates a library open to the public. The library has made no changes to its fiscal policies or budgeting procedures.  The District uses the modified accrual accounting method.  All reporting mandates have been implemented. </t>
  </si>
  <si>
    <t>The total recommended appropriations for the General Fund are</t>
  </si>
  <si>
    <t xml:space="preserve">with an Unappropriated Ending Fund Balance of </t>
  </si>
  <si>
    <t>The Reserve Fund for Facilities Improvement plans to expend</t>
  </si>
  <si>
    <t xml:space="preserve">and retain an Unappropriated Ending Fund Balance of </t>
  </si>
  <si>
    <t>A new fund will be established to record resources received for a specific purpose and with</t>
  </si>
  <si>
    <t xml:space="preserve">expenses that are expected to span multiple fiscal years. </t>
  </si>
  <si>
    <t xml:space="preserve"> The Special Revenue Fund for specific purpose donations to expend</t>
  </si>
  <si>
    <t>Lesley Steppan, Business Manager</t>
  </si>
  <si>
    <t xml:space="preserve">                       Tax Year 2023-2024</t>
  </si>
  <si>
    <t>as of 2/28/2024</t>
  </si>
  <si>
    <t>Year</t>
  </si>
  <si>
    <t>Feb</t>
  </si>
  <si>
    <t>HO/WT/MH</t>
  </si>
  <si>
    <t>Next step increase to step 20 7/1/2027</t>
  </si>
  <si>
    <t>Potential New Library Clerk</t>
  </si>
  <si>
    <t>inclusive of taxes</t>
  </si>
  <si>
    <t>increase is due to OPSRP rate at 17.12% from 13.19% prior year</t>
  </si>
  <si>
    <t>% increase over prior year budget</t>
  </si>
  <si>
    <t>Budget Calendar for FY 2023-2024</t>
  </si>
  <si>
    <r>
      <t xml:space="preserve">Board appoints Budget Officer  </t>
    </r>
    <r>
      <rPr>
        <sz val="12"/>
        <color indexed="12"/>
        <rFont val="Arial"/>
        <family val="2"/>
      </rPr>
      <t>(via Designations of Record)</t>
    </r>
  </si>
  <si>
    <t>Board adopts Budget Calendar</t>
  </si>
  <si>
    <t xml:space="preserve">Reserve Konnie Room for Budget Committee Meeting(s) </t>
  </si>
  <si>
    <t>Board appoints Budget Committee - Budget Officer mails letters</t>
  </si>
  <si>
    <t>Budget Officer emails notice of budget committee meeting to the Eugene Weekly (One week prior to publication)</t>
  </si>
  <si>
    <t xml:space="preserve">Eugene Weekly publishes first notice of budget committee meeting, not less than 5 days nor more than 30 days before </t>
  </si>
  <si>
    <t>Budget Officer distributes Proposed Budget to Budget Committee</t>
  </si>
  <si>
    <t xml:space="preserve">Eugene Weekly publishes second notice of budget committee meeting, not less than 5 days nor more than 30 days before </t>
  </si>
  <si>
    <t>Budget Committee Meeting (one week after reg Board Meeting)</t>
  </si>
  <si>
    <t xml:space="preserve">Second Budget Committee Meeting * </t>
  </si>
  <si>
    <t>Budget Officer submits Notice of Budget Hearing and Financial Summary LB1 to the Eugene Weekly (one week prior to publication)</t>
  </si>
  <si>
    <t xml:space="preserve">Eugene Weekly publishes Notice of Budget Hearing, not less than 5 days nor more than 30 days before </t>
  </si>
  <si>
    <t>Board holds Budget Hearing and adopts budget, makes appropriations, and levies taxes</t>
  </si>
  <si>
    <t>Budget Officer submits adopted budget LB50 to County Assessor no later than</t>
  </si>
  <si>
    <t xml:space="preserve"> *The Budget Committee usually completes its process in one meeting.</t>
  </si>
  <si>
    <t>Safety/Health Conference March 2024</t>
  </si>
  <si>
    <t>Oregon Gutter Service</t>
  </si>
  <si>
    <t>Plumbing</t>
  </si>
  <si>
    <t>Building Maintenance</t>
  </si>
  <si>
    <t>Monthly janitorial ($985/month-estimated)</t>
  </si>
  <si>
    <t>6/7/2024 est</t>
  </si>
  <si>
    <t>7/7/24 Accrued est</t>
  </si>
  <si>
    <t>Misc</t>
  </si>
  <si>
    <t>Image King Signs</t>
  </si>
  <si>
    <t>Annual MembershipPer letter dated 2/28/2024</t>
  </si>
  <si>
    <t>Plasticards - library card blanks (1000)</t>
  </si>
  <si>
    <t xml:space="preserve">Volunteer Appreciation Gifts </t>
  </si>
  <si>
    <t>7/2/2024 UO Journey under the Sea</t>
  </si>
  <si>
    <t>Fundraising Project for 2023-24: (current year) The Foundation launched a fund</t>
  </si>
  <si>
    <t>Foundation along with donations from 59 households (45% return) to raise the funds.</t>
  </si>
  <si>
    <t>We received special funding from Equinox</t>
  </si>
  <si>
    <r>
      <t xml:space="preserve">The Foundation will make fund transfer to the Library by </t>
    </r>
    <r>
      <rPr>
        <b/>
        <sz val="10"/>
        <color rgb="FFFF0000"/>
        <rFont val="Arial"/>
        <family val="2"/>
      </rPr>
      <t>May 2024.</t>
    </r>
  </si>
  <si>
    <r>
      <t>drive in September 2023 to raise</t>
    </r>
    <r>
      <rPr>
        <b/>
        <sz val="10"/>
        <color rgb="FFFF0000"/>
        <rFont val="Arial"/>
        <family val="2"/>
      </rPr>
      <t xml:space="preserve"> $15,000 </t>
    </r>
    <r>
      <rPr>
        <sz val="10"/>
        <color theme="1"/>
        <rFont val="Arial"/>
        <family val="2"/>
      </rPr>
      <t>in funds to replace the automatic entry doors.</t>
    </r>
  </si>
  <si>
    <t>NewsBank -Paybale in May 2024</t>
  </si>
  <si>
    <t>Website creation/maintenance</t>
  </si>
  <si>
    <t>Special revenue funds should be set up for dedicated local option tax levies, specific purpose grants and other</t>
  </si>
  <si>
    <t>revenues when required by statute, charter provision, or the terms of a grant. The number of such funds de-</t>
  </si>
  <si>
    <t>pends upon the activities of the local government and how it is funded. Some city home rule charters provide</t>
  </si>
  <si>
    <t>for a general fund and several other special funds. The general requirement is that dedicated revenues must be</t>
  </si>
  <si>
    <t>used for the specific purpose authorized, and separate funds should be established for them (ORS 311.350). Try</t>
  </si>
  <si>
    <t>to keep the number of special revenue funds to a minimum.</t>
  </si>
  <si>
    <t>Front Doors</t>
  </si>
  <si>
    <t>Parking Lot Striping</t>
  </si>
  <si>
    <t>6420 - Bridging Communities Program (Special Revenue Fund)</t>
  </si>
  <si>
    <t>Annual QuickBooks use fee</t>
  </si>
  <si>
    <t>Summary:</t>
  </si>
  <si>
    <t>net change in fund balance</t>
  </si>
  <si>
    <t>TOTAL REQUIREMENTTS</t>
  </si>
  <si>
    <t>All local governments must plan a balanced budget, meaning that the resources and requirements are equal.</t>
  </si>
  <si>
    <t>Net Working Capital (accrual basis)</t>
  </si>
  <si>
    <t>Online Comics/Graphics</t>
  </si>
  <si>
    <t>Computer Business Manager</t>
  </si>
  <si>
    <t>Regence BlueCross BlueShield of Oregon</t>
  </si>
  <si>
    <t>Moda Health Plan Inc.</t>
  </si>
  <si>
    <t>Standard Insurance Company</t>
  </si>
  <si>
    <t>The purpose of this report is to summarize for Fern Ridge Library District the employee benefit plan renewals from the following insurance carriers and vendors for the plan year beginning July 1:</t>
  </si>
  <si>
    <t>Individual</t>
  </si>
  <si>
    <t>April 2, 2024 report</t>
  </si>
  <si>
    <t>Family</t>
  </si>
  <si>
    <t>per month</t>
  </si>
  <si>
    <t>Island Fence</t>
  </si>
  <si>
    <t>3/1/2024-3/31/2024</t>
  </si>
  <si>
    <t>QuickBooks Online $90/month  4/4/2024</t>
  </si>
  <si>
    <t>thru Emerald CPAs</t>
  </si>
  <si>
    <t>Current Medical/Dental Liability</t>
  </si>
  <si>
    <t>5022 - Payroll Taxes</t>
  </si>
  <si>
    <t>Bookcovers (300)</t>
  </si>
  <si>
    <t>Mileage</t>
  </si>
  <si>
    <t>Gloves - $35 boxes/month</t>
  </si>
  <si>
    <t>Hand Sanitizer</t>
  </si>
  <si>
    <t>Masks $20 box/month</t>
  </si>
  <si>
    <t>Anticipated to June 30</t>
  </si>
  <si>
    <t>New website</t>
  </si>
  <si>
    <t>positions to be filled 2025</t>
  </si>
  <si>
    <t>7/25/2024 Up for Grabs program</t>
  </si>
  <si>
    <t>As needed - Elmira HS, Veneta Elementary</t>
  </si>
  <si>
    <t>Thompson Landscaping $450/month</t>
  </si>
  <si>
    <t>Balance of SRF account to be used</t>
  </si>
  <si>
    <t>SWANK Movie site license</t>
  </si>
  <si>
    <t>Banner Bank $42.50/mo</t>
  </si>
  <si>
    <t>Lights Inspect/Replace $1500 @6 months</t>
  </si>
  <si>
    <t xml:space="preserve">renewed through EBSCO </t>
  </si>
  <si>
    <t>Springfield Public Library SIRSI</t>
  </si>
  <si>
    <t>Hunter Communications $300/month</t>
  </si>
  <si>
    <t xml:space="preserve">Sanipac $60.00/month </t>
  </si>
  <si>
    <t>EPUD $1600 per month</t>
  </si>
  <si>
    <t>Pacific Office Automation $275/month</t>
  </si>
  <si>
    <t>Target Approx. $50/month</t>
  </si>
  <si>
    <t>Amazon Approx. $35/month</t>
  </si>
  <si>
    <t>Recorded Books Approx. $250/month</t>
  </si>
  <si>
    <t xml:space="preserve">Amazon </t>
  </si>
  <si>
    <t>Amazon Approx $60/month</t>
  </si>
  <si>
    <t>Ingran Approx. $2400/month</t>
  </si>
  <si>
    <t>Various Authors Approx. $50/month</t>
  </si>
  <si>
    <t>Amazon Approx. $50/month</t>
  </si>
  <si>
    <t>Budget Committee Meeting</t>
  </si>
  <si>
    <t>Wednesday, May 15, 2024</t>
  </si>
  <si>
    <t>2.     Introduction of Members</t>
  </si>
  <si>
    <t>3.    Approve Minutes:  May 17, 2023 Meeting</t>
  </si>
  <si>
    <t>4     Election of Officers</t>
  </si>
  <si>
    <t>5.    Budget Message:  Budget Officer</t>
  </si>
  <si>
    <t>6.    Review Budget Proposal</t>
  </si>
  <si>
    <t>7.    Hearing of Patrons</t>
  </si>
  <si>
    <t>8.    Budget Committee Deliberations</t>
  </si>
  <si>
    <t>9.    Approve Budget</t>
  </si>
  <si>
    <t>10.   Adjourn</t>
  </si>
  <si>
    <t>1.     Call to Order:  Committee Chair Jennifer Chambers</t>
  </si>
  <si>
    <t>F.T.E. Employees: 7.43</t>
  </si>
  <si>
    <t>Amazon</t>
  </si>
  <si>
    <t xml:space="preserve">Target </t>
  </si>
  <si>
    <t>Target DVD's</t>
  </si>
  <si>
    <t>Ohio Conference Meals</t>
  </si>
  <si>
    <t>Suman Barkhas-Chair Yoga</t>
  </si>
  <si>
    <r>
      <t xml:space="preserve">As many of our members are finalizing budgets for the upcoming fiscal year, we would like to provide an important update. </t>
    </r>
    <r>
      <rPr>
        <b/>
        <i/>
        <sz val="12"/>
        <color theme="1"/>
        <rFont val="Calibri"/>
        <family val="2"/>
      </rPr>
      <t>Projected liability and property insurance contribution increases of 15-20% are anticipated for the 2025 coverage year, beginning January 1st.  </t>
    </r>
    <r>
      <rPr>
        <sz val="12"/>
        <color theme="1"/>
        <rFont val="Calibri"/>
        <family val="2"/>
      </rPr>
      <t xml:space="preserve">Due to these factors, we advise that members prepare their budgets for a 15-20% contribution increase effective January 1, 2025. While this is a larger increase than we have implemented in the past, it remains lower than many entities have experienced in the private market over the past few years. </t>
    </r>
  </si>
  <si>
    <t>Budget Officer offers via flashdrive an approved budget to committee members (after all meetings have concluded).</t>
  </si>
  <si>
    <t>2</t>
  </si>
  <si>
    <t>Friends</t>
  </si>
  <si>
    <t>not buying as much COVID related items as in the past</t>
  </si>
  <si>
    <t>added new website creation/development/maintenance</t>
  </si>
  <si>
    <t>Springfld Library Overdrive/Advantage</t>
  </si>
  <si>
    <t>Other*</t>
  </si>
  <si>
    <t>Office 365 annual cost $72.50/month</t>
  </si>
  <si>
    <t>Jul 24 - Jun 25</t>
  </si>
  <si>
    <t>Faronics</t>
  </si>
  <si>
    <t>Faronics not due until 2027</t>
  </si>
  <si>
    <t>Levy Election</t>
  </si>
  <si>
    <t>Study Rooms</t>
  </si>
  <si>
    <t>4/1/2024-4/30/2024</t>
  </si>
  <si>
    <t>Negotiations with the OSEA Union resulted in a 4.779% increase in wages, plus a 3% step increase in most cases. Per contract, effective July 1, 2023, wages across all classifications shall be increased by the average of the twelve monthly percentage increases reported in the CPI-W, West, Size Class B/C, from February 2023 through January 2024, with a minimum of 3.0% and a maximum of 6.0%. With the cost of benefits added in, the result is an estimated $89,495 increase in payroll expense over the prior fiscal year.</t>
  </si>
  <si>
    <t>The FY 2024-2025 budget proposal presents the increased expenditures for personnel and includes an overall increase in total operating expenditures of slightly over 5.862% from the previous fiscal years budget.  All line items have been reviewed and adjusted to reflect current or anticipated needs. Resources are forecast to increase by 23.02%. Major capital expenditures planned for fiscal 2024-2025 are $744,500 including an allocation for a potential bid on an adjacent property if one should become available.</t>
  </si>
  <si>
    <t>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</si>
</sst>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0.00;\-#,##0.00"/>
    <numFmt numFmtId="165" formatCode="0.0%"/>
    <numFmt numFmtId="166" formatCode="#,##0.00000000_);\(#,##0.00000000\)"/>
    <numFmt numFmtId="167" formatCode="[$-409]mmm\-yy;@"/>
    <numFmt numFmtId="168" formatCode="#,##0.0_);\(#,##0.0\)"/>
    <numFmt numFmtId="169" formatCode="&quot;$&quot;#,##0.00"/>
    <numFmt numFmtId="170" formatCode="_(&quot;$&quot;* #,##0.0000_);_(&quot;$&quot;* \(#,##0.0000\);_(&quot;$&quot;* &quot;-&quot;??_);_(@_)"/>
    <numFmt numFmtId="171" formatCode="0.0000000"/>
    <numFmt numFmtId="172" formatCode="&quot;$&quot;#,##0.00\ ;\(&quot;$&quot;#,##0.00\)"/>
    <numFmt numFmtId="173" formatCode="0.0000000%"/>
    <numFmt numFmtId="174" formatCode="0.0000"/>
    <numFmt numFmtId="175" formatCode="0.000"/>
    <numFmt numFmtId="176" formatCode="0.000%"/>
    <numFmt numFmtId="177" formatCode="_(&quot;$&quot;* #,##0_);_(&quot;$&quot;* \(#,##0\);_(&quot;$&quot;* &quot;-&quot;??_);_(@_)"/>
    <numFmt numFmtId="178" formatCode="_(* #,##0_);_(* \(#,##0\);_(* &quot;-&quot;??_);_(@_)"/>
    <numFmt numFmtId="179" formatCode="0.00_);[Red]\(0.00\)"/>
    <numFmt numFmtId="180" formatCode="&quot;$&quot;#,##0"/>
    <numFmt numFmtId="181" formatCode="[$-409]mmmm\ d\,\ yyyy;@"/>
  </numFmts>
  <fonts count="89">
    <font>
      <sz val="12"/>
      <color theme="1"/>
      <name val="Arial"/>
      <family val="2"/>
    </font>
    <font>
      <sz val="12"/>
      <color theme="1"/>
      <name val="Arial"/>
      <family val="2"/>
    </font>
    <font>
      <sz val="10"/>
      <name val="Arial"/>
      <family val="2"/>
    </font>
    <font>
      <sz val="10"/>
      <color rgb="FF323232"/>
      <name val="Arial"/>
      <family val="2"/>
    </font>
    <font>
      <sz val="10"/>
      <color theme="1"/>
      <name val="Arial"/>
      <family val="2"/>
    </font>
    <font>
      <sz val="10"/>
      <color rgb="FF465723"/>
      <name val="Arial"/>
      <family val="2"/>
    </font>
    <font>
      <sz val="9"/>
      <color indexed="81"/>
      <name val="Tahoma"/>
      <family val="2"/>
    </font>
    <font>
      <b/>
      <sz val="9"/>
      <color indexed="81"/>
      <name val="Tahoma"/>
      <family val="2"/>
    </font>
    <font>
      <b/>
      <sz val="10"/>
      <name val="Arial"/>
      <family val="2"/>
    </font>
    <font>
      <sz val="10"/>
      <color indexed="8"/>
      <name val="Arial"/>
      <family val="2"/>
    </font>
    <font>
      <b/>
      <sz val="10"/>
      <color indexed="8"/>
      <name val="Arial"/>
      <family val="2"/>
    </font>
    <font>
      <b/>
      <sz val="12"/>
      <color indexed="10"/>
      <name val="Arial"/>
      <family val="2"/>
    </font>
    <font>
      <b/>
      <sz val="12"/>
      <color rgb="FFFF0000"/>
      <name val="Arial"/>
      <family val="2"/>
    </font>
    <font>
      <sz val="12"/>
      <color indexed="81"/>
      <name val="Arial"/>
      <family val="2"/>
    </font>
    <font>
      <b/>
      <sz val="12"/>
      <color indexed="81"/>
      <name val="Arial"/>
      <family val="2"/>
    </font>
    <font>
      <b/>
      <sz val="10"/>
      <color theme="1"/>
      <name val="Arial"/>
      <family val="2"/>
    </font>
    <font>
      <sz val="8"/>
      <color theme="1"/>
      <name val="Arial"/>
      <family val="2"/>
    </font>
    <font>
      <i/>
      <sz val="10"/>
      <color theme="1"/>
      <name val="Arial"/>
      <family val="2"/>
    </font>
    <font>
      <sz val="10"/>
      <name val="SWISS"/>
    </font>
    <font>
      <b/>
      <sz val="10"/>
      <color rgb="FFFF0000"/>
      <name val="Arial"/>
      <family val="2"/>
    </font>
    <font>
      <sz val="10"/>
      <color indexed="53"/>
      <name val="Arial"/>
      <family val="2"/>
    </font>
    <font>
      <b/>
      <sz val="10"/>
      <color indexed="10"/>
      <name val="Arial"/>
      <family val="2"/>
    </font>
    <font>
      <sz val="10"/>
      <color rgb="FF009A46"/>
      <name val="Arial"/>
      <family val="2"/>
    </font>
    <font>
      <b/>
      <sz val="10"/>
      <color rgb="FF009A46"/>
      <name val="Arial"/>
      <family val="2"/>
    </font>
    <font>
      <sz val="10"/>
      <color rgb="FFFF0000"/>
      <name val="Arial"/>
      <family val="2"/>
    </font>
    <font>
      <b/>
      <u/>
      <sz val="10"/>
      <color indexed="8"/>
      <name val="Arial"/>
      <family val="2"/>
    </font>
    <font>
      <sz val="10"/>
      <color indexed="10"/>
      <name val="Arial"/>
      <family val="2"/>
    </font>
    <font>
      <b/>
      <sz val="12"/>
      <name val="Arial"/>
      <family val="2"/>
    </font>
    <font>
      <b/>
      <sz val="10"/>
      <color rgb="FF323232"/>
      <name val="Arial"/>
      <family val="2"/>
    </font>
    <font>
      <sz val="12"/>
      <color rgb="FF323232"/>
      <name val="Arial"/>
      <family val="2"/>
    </font>
    <font>
      <sz val="12"/>
      <name val="Arial"/>
      <family val="2"/>
    </font>
    <font>
      <sz val="9"/>
      <color theme="1"/>
      <name val="Arial"/>
      <family val="2"/>
    </font>
    <font>
      <b/>
      <sz val="16"/>
      <name val="Arial"/>
      <family val="2"/>
    </font>
    <font>
      <i/>
      <sz val="12"/>
      <color indexed="10"/>
      <name val="Arial"/>
      <family val="2"/>
    </font>
    <font>
      <b/>
      <sz val="14"/>
      <name val="Arial"/>
      <family val="2"/>
    </font>
    <font>
      <sz val="12"/>
      <color indexed="10"/>
      <name val="Arial"/>
      <family val="2"/>
    </font>
    <font>
      <u/>
      <sz val="12"/>
      <name val="Arial"/>
      <family val="2"/>
    </font>
    <font>
      <sz val="8"/>
      <color indexed="81"/>
      <name val="Tahoma"/>
      <family val="2"/>
    </font>
    <font>
      <sz val="8"/>
      <color rgb="FF323232"/>
      <name val="Arial"/>
      <family val="2"/>
    </font>
    <font>
      <b/>
      <sz val="12"/>
      <color theme="1"/>
      <name val="Arial"/>
      <family val="2"/>
    </font>
    <font>
      <u/>
      <sz val="12"/>
      <color theme="10"/>
      <name val="Arial"/>
      <family val="2"/>
    </font>
    <font>
      <sz val="8"/>
      <name val="Arial"/>
      <family val="2"/>
    </font>
    <font>
      <sz val="10"/>
      <name val="Arial"/>
      <family val="2"/>
    </font>
    <font>
      <b/>
      <sz val="10"/>
      <color theme="1"/>
      <name val="Calibri"/>
      <family val="2"/>
      <scheme val="minor"/>
    </font>
    <font>
      <u/>
      <sz val="10"/>
      <color theme="10"/>
      <name val="Arial"/>
      <family val="2"/>
    </font>
    <font>
      <b/>
      <sz val="8"/>
      <color rgb="FF323232"/>
      <name val="Arial"/>
      <family val="2"/>
    </font>
    <font>
      <sz val="11"/>
      <name val="Arial"/>
      <family val="2"/>
    </font>
    <font>
      <sz val="11"/>
      <color theme="1"/>
      <name val="Calibri"/>
      <family val="2"/>
    </font>
    <font>
      <sz val="11"/>
      <color theme="1"/>
      <name val="Symbol"/>
      <family val="1"/>
      <charset val="2"/>
    </font>
    <font>
      <sz val="7"/>
      <color theme="1"/>
      <name val="Times New Roman"/>
      <family val="1"/>
    </font>
    <font>
      <b/>
      <sz val="8"/>
      <color theme="1"/>
      <name val="Arial"/>
      <family val="2"/>
    </font>
    <font>
      <sz val="12"/>
      <color rgb="FFFF0000"/>
      <name val="Arial"/>
      <family val="2"/>
    </font>
    <font>
      <b/>
      <sz val="14"/>
      <color theme="1"/>
      <name val="Arial"/>
      <family val="2"/>
    </font>
    <font>
      <b/>
      <u/>
      <sz val="10"/>
      <name val="Arial"/>
      <family val="2"/>
    </font>
    <font>
      <b/>
      <sz val="10"/>
      <color indexed="12"/>
      <name val="Arial"/>
      <family val="2"/>
    </font>
    <font>
      <sz val="10"/>
      <color indexed="18"/>
      <name val="Arial"/>
      <family val="2"/>
    </font>
    <font>
      <b/>
      <sz val="10"/>
      <color indexed="17"/>
      <name val="Arial"/>
      <family val="2"/>
    </font>
    <font>
      <b/>
      <sz val="10"/>
      <color rgb="FF009900"/>
      <name val="Arial"/>
      <family val="2"/>
    </font>
    <font>
      <b/>
      <sz val="10"/>
      <color rgb="FF007E39"/>
      <name val="Arial"/>
      <family val="2"/>
    </font>
    <font>
      <b/>
      <sz val="11"/>
      <name val="Arial"/>
      <family val="2"/>
    </font>
    <font>
      <sz val="10"/>
      <color rgb="FFFF0000"/>
      <name val="SWISS"/>
    </font>
    <font>
      <b/>
      <sz val="12"/>
      <color rgb="FFFF0000"/>
      <name val="SWISS"/>
    </font>
    <font>
      <b/>
      <sz val="10"/>
      <color indexed="8"/>
      <name val="SWISS"/>
    </font>
    <font>
      <sz val="10"/>
      <color indexed="8"/>
      <name val="SWISS"/>
    </font>
    <font>
      <sz val="10"/>
      <color indexed="18"/>
      <name val="SWISS"/>
    </font>
    <font>
      <sz val="11"/>
      <name val="SWISS"/>
    </font>
    <font>
      <sz val="12"/>
      <color indexed="8"/>
      <name val="SWISS"/>
    </font>
    <font>
      <b/>
      <sz val="12"/>
      <color indexed="17"/>
      <name val="SWISS"/>
    </font>
    <font>
      <u/>
      <sz val="11"/>
      <color indexed="20"/>
      <name val="SWISS"/>
    </font>
    <font>
      <sz val="9"/>
      <color indexed="20"/>
      <name val="SWISS"/>
    </font>
    <font>
      <sz val="12"/>
      <color indexed="20"/>
      <name val="SWISS"/>
    </font>
    <font>
      <sz val="11"/>
      <color rgb="FFFF0000"/>
      <name val="Arial"/>
      <family val="2"/>
    </font>
    <font>
      <sz val="11"/>
      <color indexed="18"/>
      <name val="SWISS"/>
    </font>
    <font>
      <b/>
      <sz val="12"/>
      <color indexed="60"/>
      <name val="SWISS"/>
    </font>
    <font>
      <b/>
      <sz val="12"/>
      <name val="SWISS"/>
    </font>
    <font>
      <sz val="15"/>
      <name val="Arial"/>
      <family val="2"/>
    </font>
    <font>
      <sz val="13"/>
      <name val="Times New Roman"/>
      <family val="1"/>
    </font>
    <font>
      <b/>
      <sz val="13"/>
      <name val="Times New Roman"/>
      <family val="1"/>
    </font>
    <font>
      <sz val="11"/>
      <color indexed="8"/>
      <name val="SWISS"/>
    </font>
    <font>
      <sz val="11"/>
      <color indexed="8"/>
      <name val="Arial"/>
      <family val="2"/>
    </font>
    <font>
      <sz val="12"/>
      <color indexed="18"/>
      <name val="SWISS"/>
    </font>
    <font>
      <b/>
      <sz val="8"/>
      <name val="Arial"/>
      <family val="2"/>
    </font>
    <font>
      <sz val="8"/>
      <color rgb="FFFF0000"/>
      <name val="Arial"/>
      <family val="2"/>
    </font>
    <font>
      <b/>
      <sz val="8"/>
      <color rgb="FFFF0000"/>
      <name val="SWISS"/>
    </font>
    <font>
      <sz val="12"/>
      <color indexed="8"/>
      <name val="Arial"/>
      <family val="2"/>
    </font>
    <font>
      <sz val="12"/>
      <color indexed="12"/>
      <name val="Arial"/>
      <family val="2"/>
    </font>
    <font>
      <b/>
      <u/>
      <sz val="12"/>
      <color theme="1"/>
      <name val="Arial"/>
      <family val="2"/>
    </font>
    <font>
      <sz val="12"/>
      <color theme="1"/>
      <name val="Calibri"/>
      <family val="2"/>
    </font>
    <font>
      <b/>
      <i/>
      <sz val="12"/>
      <color theme="1"/>
      <name val="Calibri"/>
      <family val="2"/>
    </font>
  </fonts>
  <fills count="11">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31"/>
        <bgColor indexed="64"/>
      </patternFill>
    </fill>
    <fill>
      <patternFill patternType="solid">
        <fgColor rgb="FF99FF33"/>
        <bgColor indexed="64"/>
      </patternFill>
    </fill>
    <fill>
      <patternFill patternType="solid">
        <fgColor indexed="9"/>
        <bgColor indexed="64"/>
      </patternFill>
    </fill>
    <fill>
      <patternFill patternType="solid">
        <fgColor rgb="FFC0FF4F"/>
        <bgColor indexed="64"/>
      </patternFill>
    </fill>
    <fill>
      <patternFill patternType="solid">
        <fgColor rgb="FF9AF000"/>
        <bgColor indexed="64"/>
      </patternFill>
    </fill>
    <fill>
      <patternFill patternType="solid">
        <fgColor rgb="FFFFFFCC"/>
        <bgColor indexed="64"/>
      </patternFill>
    </fill>
    <fill>
      <patternFill patternType="solid">
        <fgColor rgb="FFCCFFCC"/>
        <bgColor indexed="64"/>
      </patternFill>
    </fill>
  </fills>
  <borders count="106">
    <border>
      <left/>
      <right/>
      <top/>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thin">
        <color indexed="8"/>
      </bottom>
      <diagonal/>
    </border>
    <border>
      <left/>
      <right/>
      <top/>
      <bottom style="double">
        <color indexed="8"/>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diagonal/>
    </border>
    <border>
      <left/>
      <right style="thin">
        <color indexed="64"/>
      </right>
      <top/>
      <bottom style="thin">
        <color indexed="64"/>
      </bottom>
      <diagonal/>
    </border>
    <border>
      <left/>
      <right style="thick">
        <color indexed="64"/>
      </right>
      <top/>
      <bottom/>
      <diagonal/>
    </border>
    <border>
      <left style="thick">
        <color indexed="64"/>
      </left>
      <right/>
      <top/>
      <bottom/>
      <diagonal/>
    </border>
    <border>
      <left/>
      <right style="thin">
        <color indexed="64"/>
      </right>
      <top style="thin">
        <color indexed="64"/>
      </top>
      <bottom/>
      <diagonal/>
    </border>
    <border>
      <left style="thin">
        <color indexed="64"/>
      </left>
      <right style="thick">
        <color indexed="64"/>
      </right>
      <top/>
      <bottom/>
      <diagonal/>
    </border>
    <border>
      <left style="thick">
        <color indexed="64"/>
      </left>
      <right style="thick">
        <color indexed="64"/>
      </right>
      <top style="thin">
        <color indexed="64"/>
      </top>
      <bottom style="thin">
        <color indexed="64"/>
      </bottom>
      <diagonal/>
    </border>
    <border>
      <left/>
      <right style="thin">
        <color indexed="64"/>
      </right>
      <top/>
      <bottom/>
      <diagonal/>
    </border>
    <border>
      <left style="thin">
        <color indexed="64"/>
      </left>
      <right style="thick">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right/>
      <top/>
      <bottom style="double">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ck">
        <color theme="1"/>
      </bottom>
      <diagonal/>
    </border>
    <border>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top style="thin">
        <color theme="1"/>
      </top>
      <bottom style="double">
        <color theme="1"/>
      </bottom>
      <diagonal/>
    </border>
  </borders>
  <cellStyleXfs count="12">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0" fontId="30"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2" fillId="0" borderId="0"/>
  </cellStyleXfs>
  <cellXfs count="1100">
    <xf numFmtId="0" fontId="0" fillId="0" borderId="0" xfId="0"/>
    <xf numFmtId="49" fontId="3" fillId="0" borderId="0" xfId="0" applyNumberFormat="1" applyFont="1"/>
    <xf numFmtId="0" fontId="4" fillId="0" borderId="0" xfId="0" applyFont="1"/>
    <xf numFmtId="0" fontId="4" fillId="0" borderId="0" xfId="0" applyFont="1" applyAlignment="1">
      <alignment horizontal="center"/>
    </xf>
    <xf numFmtId="164" fontId="3" fillId="0" borderId="0" xfId="0" applyNumberFormat="1" applyFont="1" applyBorder="1"/>
    <xf numFmtId="44" fontId="4" fillId="0" borderId="0" xfId="3" applyFont="1"/>
    <xf numFmtId="0" fontId="0" fillId="0" borderId="0" xfId="0" applyAlignment="1">
      <alignment vertical="center"/>
    </xf>
    <xf numFmtId="0" fontId="9" fillId="0" borderId="0" xfId="0" applyFont="1" applyAlignment="1" applyProtection="1">
      <alignment horizontal="right" vertical="center"/>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2" fontId="10" fillId="0" borderId="0" xfId="0" applyNumberFormat="1" applyFont="1" applyAlignment="1" applyProtection="1">
      <alignment horizontal="center" vertical="center"/>
    </xf>
    <xf numFmtId="9" fontId="9" fillId="0" borderId="0" xfId="0" applyNumberFormat="1" applyFont="1" applyAlignment="1" applyProtection="1">
      <alignment horizontal="center" vertical="center"/>
    </xf>
    <xf numFmtId="37" fontId="9" fillId="0" borderId="0" xfId="0" applyNumberFormat="1" applyFont="1" applyAlignment="1" applyProtection="1">
      <alignment horizontal="center" vertical="center"/>
    </xf>
    <xf numFmtId="0" fontId="11" fillId="0" borderId="0" xfId="0" applyFont="1" applyBorder="1" applyAlignment="1">
      <alignment vertical="center"/>
    </xf>
    <xf numFmtId="37" fontId="11" fillId="0" borderId="0" xfId="0" applyNumberFormat="1" applyFont="1" applyBorder="1" applyAlignment="1" applyProtection="1">
      <alignment vertical="center"/>
    </xf>
    <xf numFmtId="37" fontId="2" fillId="0" borderId="0" xfId="0" applyNumberFormat="1" applyFont="1" applyAlignment="1">
      <alignment horizontal="left" vertical="center"/>
    </xf>
    <xf numFmtId="2" fontId="9" fillId="0" borderId="0" xfId="0" applyNumberFormat="1" applyFont="1" applyAlignment="1" applyProtection="1">
      <alignment horizontal="center" vertical="center"/>
    </xf>
    <xf numFmtId="0" fontId="4" fillId="0" borderId="0" xfId="0" applyFont="1" applyFill="1"/>
    <xf numFmtId="0" fontId="4" fillId="0" borderId="10" xfId="0" applyFont="1" applyBorder="1"/>
    <xf numFmtId="44" fontId="4" fillId="0" borderId="10" xfId="3" applyFont="1" applyBorder="1"/>
    <xf numFmtId="44" fontId="4" fillId="0" borderId="10" xfId="3" applyFont="1" applyFill="1" applyBorder="1"/>
    <xf numFmtId="44" fontId="4" fillId="0" borderId="13" xfId="3" applyFont="1" applyFill="1" applyBorder="1"/>
    <xf numFmtId="44" fontId="4" fillId="0" borderId="0" xfId="3" applyFont="1" applyFill="1" applyBorder="1"/>
    <xf numFmtId="44" fontId="15" fillId="0" borderId="10" xfId="0" applyNumberFormat="1" applyFont="1" applyFill="1" applyBorder="1"/>
    <xf numFmtId="0" fontId="4" fillId="0" borderId="0" xfId="0" applyFont="1" applyBorder="1"/>
    <xf numFmtId="0" fontId="4" fillId="0" borderId="0" xfId="0" applyFont="1" applyAlignment="1">
      <alignment horizontal="right"/>
    </xf>
    <xf numFmtId="44" fontId="2" fillId="0" borderId="0" xfId="3" applyFont="1" applyFill="1" applyBorder="1" applyAlignment="1" applyProtection="1">
      <alignment vertical="center"/>
    </xf>
    <xf numFmtId="44" fontId="2" fillId="0" borderId="0" xfId="3" applyFont="1" applyFill="1" applyBorder="1" applyAlignment="1">
      <alignment vertical="center"/>
    </xf>
    <xf numFmtId="0" fontId="4" fillId="0" borderId="0" xfId="0" applyFont="1" applyFill="1" applyBorder="1"/>
    <xf numFmtId="44" fontId="2" fillId="0" borderId="0" xfId="3" applyFont="1" applyFill="1" applyBorder="1"/>
    <xf numFmtId="44" fontId="2" fillId="0" borderId="0" xfId="3" applyFont="1" applyFill="1" applyBorder="1" applyAlignment="1" applyProtection="1">
      <alignment horizontal="right" vertical="center"/>
    </xf>
    <xf numFmtId="0" fontId="4" fillId="0" borderId="10" xfId="0" applyFont="1" applyFill="1" applyBorder="1"/>
    <xf numFmtId="44" fontId="4" fillId="0" borderId="0" xfId="0" applyNumberFormat="1" applyFont="1" applyBorder="1"/>
    <xf numFmtId="0" fontId="17" fillId="0" borderId="0" xfId="0" applyFont="1" applyFill="1" applyBorder="1"/>
    <xf numFmtId="44" fontId="2" fillId="0" borderId="0" xfId="3" applyFont="1" applyFill="1" applyBorder="1" applyAlignment="1">
      <alignment horizontal="center" vertical="center"/>
    </xf>
    <xf numFmtId="39" fontId="8" fillId="0" borderId="0" xfId="0" applyNumberFormat="1" applyFont="1" applyFill="1" applyBorder="1" applyAlignment="1">
      <alignment vertical="center"/>
    </xf>
    <xf numFmtId="0" fontId="4" fillId="0" borderId="10" xfId="0" applyFont="1" applyFill="1" applyBorder="1" applyAlignment="1">
      <alignment horizontal="center" wrapText="1"/>
    </xf>
    <xf numFmtId="44" fontId="2" fillId="0" borderId="10" xfId="3" applyFont="1" applyFill="1" applyBorder="1" applyAlignment="1">
      <alignment horizontal="center" vertical="center"/>
    </xf>
    <xf numFmtId="167" fontId="4" fillId="0" borderId="10" xfId="0" quotePrefix="1" applyNumberFormat="1" applyFont="1" applyFill="1" applyBorder="1" applyAlignment="1">
      <alignment horizontal="center" wrapText="1"/>
    </xf>
    <xf numFmtId="165" fontId="9" fillId="0" borderId="0" xfId="1" applyNumberFormat="1" applyFont="1" applyFill="1" applyAlignment="1" applyProtection="1">
      <alignment horizontal="center" vertical="center"/>
    </xf>
    <xf numFmtId="44" fontId="3" fillId="0" borderId="0" xfId="3" applyFont="1"/>
    <xf numFmtId="44" fontId="5" fillId="0" borderId="0" xfId="3" applyFont="1" applyFill="1"/>
    <xf numFmtId="44" fontId="3" fillId="0" borderId="0" xfId="3" applyFont="1" applyBorder="1"/>
    <xf numFmtId="44" fontId="4" fillId="0" borderId="0" xfId="3" applyFont="1" applyBorder="1"/>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Alignment="1">
      <alignment horizontal="left"/>
    </xf>
    <xf numFmtId="0" fontId="4" fillId="0" borderId="15" xfId="0" applyFont="1" applyBorder="1" applyAlignment="1">
      <alignment horizontal="center" wrapText="1"/>
    </xf>
    <xf numFmtId="14" fontId="4" fillId="0" borderId="0" xfId="0" applyNumberFormat="1" applyFont="1"/>
    <xf numFmtId="44" fontId="4" fillId="0" borderId="0" xfId="3" applyFont="1" applyAlignment="1">
      <alignment horizontal="right"/>
    </xf>
    <xf numFmtId="44" fontId="3" fillId="0" borderId="0" xfId="3" applyFont="1" applyFill="1" applyBorder="1"/>
    <xf numFmtId="44" fontId="3" fillId="0" borderId="15" xfId="3" applyFont="1" applyFill="1" applyBorder="1" applyAlignment="1">
      <alignment horizontal="center" wrapText="1"/>
    </xf>
    <xf numFmtId="0" fontId="4" fillId="0" borderId="20" xfId="0" applyFont="1" applyBorder="1"/>
    <xf numFmtId="2" fontId="4" fillId="0" borderId="0" xfId="0" applyNumberFormat="1" applyFont="1" applyFill="1" applyBorder="1"/>
    <xf numFmtId="0" fontId="4" fillId="0" borderId="20" xfId="0" applyFont="1" applyFill="1" applyBorder="1"/>
    <xf numFmtId="0" fontId="4" fillId="0" borderId="20" xfId="0" applyFont="1" applyBorder="1" applyAlignment="1">
      <alignment horizontal="right"/>
    </xf>
    <xf numFmtId="44" fontId="4" fillId="0" borderId="0" xfId="0" applyNumberFormat="1" applyFont="1" applyFill="1" applyBorder="1"/>
    <xf numFmtId="39" fontId="2" fillId="0" borderId="22" xfId="0" applyNumberFormat="1" applyFont="1" applyFill="1" applyBorder="1" applyAlignment="1" applyProtection="1">
      <alignment horizontal="left"/>
    </xf>
    <xf numFmtId="0" fontId="4" fillId="0" borderId="20" xfId="0" applyFont="1" applyBorder="1" applyAlignment="1">
      <alignment horizontal="left"/>
    </xf>
    <xf numFmtId="0" fontId="16" fillId="0" borderId="20" xfId="0" applyFont="1" applyFill="1" applyBorder="1" applyAlignment="1">
      <alignment wrapText="1"/>
    </xf>
    <xf numFmtId="39" fontId="2" fillId="0" borderId="22" xfId="0" applyNumberFormat="1" applyFont="1" applyFill="1" applyBorder="1" applyAlignment="1" applyProtection="1">
      <alignment horizontal="left" vertical="center"/>
    </xf>
    <xf numFmtId="0" fontId="4" fillId="0" borderId="22" xfId="0" applyFont="1" applyBorder="1"/>
    <xf numFmtId="8" fontId="4" fillId="0" borderId="0" xfId="0" applyNumberFormat="1" applyFont="1" applyBorder="1"/>
    <xf numFmtId="0" fontId="19" fillId="0" borderId="0" xfId="0" applyFont="1"/>
    <xf numFmtId="0" fontId="2" fillId="0" borderId="0" xfId="0" applyFont="1"/>
    <xf numFmtId="0" fontId="4" fillId="0" borderId="0" xfId="0" applyFont="1" applyBorder="1" applyAlignment="1"/>
    <xf numFmtId="0" fontId="4" fillId="0" borderId="21" xfId="0" applyFont="1" applyBorder="1"/>
    <xf numFmtId="44" fontId="4" fillId="0" borderId="0" xfId="0" applyNumberFormat="1" applyFont="1" applyBorder="1" applyAlignment="1">
      <alignment horizontal="right"/>
    </xf>
    <xf numFmtId="169" fontId="4" fillId="0" borderId="0" xfId="0" applyNumberFormat="1" applyFont="1"/>
    <xf numFmtId="0" fontId="0" fillId="0" borderId="0" xfId="0" applyBorder="1"/>
    <xf numFmtId="44" fontId="4" fillId="0" borderId="0" xfId="0" applyNumberFormat="1" applyFont="1" applyBorder="1" applyAlignment="1">
      <alignment horizontal="center"/>
    </xf>
    <xf numFmtId="0" fontId="2" fillId="0" borderId="0" xfId="0" applyFont="1" applyAlignment="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10" fillId="0" borderId="0" xfId="0" applyFont="1" applyFill="1" applyAlignment="1" applyProtection="1">
      <alignment vertical="center"/>
    </xf>
    <xf numFmtId="165" fontId="20" fillId="0" borderId="0" xfId="1" applyNumberFormat="1" applyFont="1" applyAlignment="1">
      <alignment horizontal="center" vertical="center"/>
    </xf>
    <xf numFmtId="0" fontId="20" fillId="0" borderId="0" xfId="0" applyFont="1" applyAlignment="1">
      <alignment vertical="center"/>
    </xf>
    <xf numFmtId="0" fontId="2" fillId="0" borderId="0" xfId="0" applyFont="1" applyAlignment="1" applyProtection="1">
      <alignment horizontal="right" vertical="center"/>
    </xf>
    <xf numFmtId="0" fontId="10" fillId="0" borderId="0" xfId="0" applyFont="1" applyAlignment="1" applyProtection="1">
      <alignment horizontal="right" vertical="center"/>
    </xf>
    <xf numFmtId="37" fontId="21" fillId="0" borderId="0" xfId="0" applyNumberFormat="1" applyFont="1" applyBorder="1" applyAlignment="1" applyProtection="1">
      <alignment horizontal="right" vertical="center"/>
    </xf>
    <xf numFmtId="37" fontId="9" fillId="0" borderId="0" xfId="0" applyNumberFormat="1" applyFont="1" applyFill="1" applyAlignment="1" applyProtection="1">
      <alignment horizontal="center" vertical="center"/>
    </xf>
    <xf numFmtId="0" fontId="2" fillId="0" borderId="0" xfId="0" applyFont="1" applyFill="1" applyAlignment="1">
      <alignment vertical="center"/>
    </xf>
    <xf numFmtId="37" fontId="9" fillId="0" borderId="29" xfId="0" applyNumberFormat="1" applyFont="1" applyBorder="1" applyAlignment="1" applyProtection="1">
      <alignment vertical="center"/>
    </xf>
    <xf numFmtId="37" fontId="9" fillId="0" borderId="2" xfId="0" applyNumberFormat="1" applyFont="1" applyBorder="1" applyAlignment="1" applyProtection="1">
      <alignment vertical="center"/>
    </xf>
    <xf numFmtId="37" fontId="9" fillId="0" borderId="19" xfId="0" applyNumberFormat="1" applyFont="1" applyBorder="1" applyAlignment="1" applyProtection="1">
      <alignment vertical="center"/>
    </xf>
    <xf numFmtId="37" fontId="21" fillId="0" borderId="22" xfId="0" applyNumberFormat="1" applyFont="1" applyBorder="1" applyAlignment="1" applyProtection="1">
      <alignment horizontal="left" vertical="center"/>
    </xf>
    <xf numFmtId="0" fontId="21" fillId="0" borderId="0" xfId="0" applyFont="1" applyBorder="1" applyAlignment="1">
      <alignment vertical="center"/>
    </xf>
    <xf numFmtId="37" fontId="21" fillId="0" borderId="0" xfId="0" applyNumberFormat="1" applyFont="1" applyBorder="1" applyAlignment="1" applyProtection="1">
      <alignment vertical="center"/>
    </xf>
    <xf numFmtId="37" fontId="21" fillId="0" borderId="21" xfId="0" applyNumberFormat="1" applyFont="1" applyBorder="1" applyAlignment="1" applyProtection="1">
      <alignment vertical="center"/>
    </xf>
    <xf numFmtId="0" fontId="21" fillId="0" borderId="21" xfId="0" applyFont="1" applyBorder="1" applyAlignment="1">
      <alignment horizontal="right" vertical="center"/>
    </xf>
    <xf numFmtId="37" fontId="21" fillId="0" borderId="22" xfId="0" applyNumberFormat="1" applyFont="1" applyBorder="1" applyAlignment="1" applyProtection="1">
      <alignment vertical="center"/>
    </xf>
    <xf numFmtId="37" fontId="21" fillId="0" borderId="28" xfId="0" applyNumberFormat="1" applyFont="1" applyBorder="1" applyAlignment="1" applyProtection="1">
      <alignment horizontal="right" vertical="center"/>
    </xf>
    <xf numFmtId="0" fontId="2" fillId="0" borderId="21" xfId="0" applyFont="1" applyBorder="1"/>
    <xf numFmtId="0" fontId="2" fillId="0" borderId="0" xfId="0" applyFont="1" applyBorder="1"/>
    <xf numFmtId="0" fontId="2" fillId="0" borderId="24" xfId="0" applyFont="1" applyBorder="1"/>
    <xf numFmtId="0" fontId="21" fillId="0" borderId="25" xfId="0" applyFont="1" applyBorder="1" applyAlignment="1">
      <alignment horizontal="right" vertical="center"/>
    </xf>
    <xf numFmtId="37" fontId="21" fillId="0" borderId="25" xfId="0" applyNumberFormat="1" applyFont="1" applyBorder="1" applyAlignment="1" applyProtection="1">
      <alignment horizontal="right" vertical="center"/>
    </xf>
    <xf numFmtId="0" fontId="2" fillId="0" borderId="26" xfId="0" applyFont="1" applyBorder="1"/>
    <xf numFmtId="0" fontId="8" fillId="0" borderId="0" xfId="0" applyFont="1" applyAlignment="1">
      <alignment horizontal="center"/>
    </xf>
    <xf numFmtId="0" fontId="0" fillId="0" borderId="0" xfId="0" applyAlignment="1">
      <alignment horizontal="center"/>
    </xf>
    <xf numFmtId="0" fontId="0" fillId="0" borderId="0" xfId="0" applyFill="1"/>
    <xf numFmtId="44" fontId="4" fillId="0" borderId="28" xfId="3" applyFont="1" applyBorder="1"/>
    <xf numFmtId="44" fontId="29" fillId="0" borderId="0" xfId="3" applyFont="1" applyFill="1"/>
    <xf numFmtId="44" fontId="29" fillId="0" borderId="0" xfId="3" applyFont="1" applyBorder="1"/>
    <xf numFmtId="44" fontId="4" fillId="0" borderId="15" xfId="0" applyNumberFormat="1" applyFont="1" applyBorder="1" applyAlignment="1">
      <alignment horizontal="center"/>
    </xf>
    <xf numFmtId="0" fontId="15" fillId="0" borderId="0" xfId="0" applyFont="1" applyAlignment="1">
      <alignment horizontal="center" vertical="center"/>
    </xf>
    <xf numFmtId="10" fontId="4" fillId="0" borderId="0" xfId="0" applyNumberFormat="1" applyFont="1"/>
    <xf numFmtId="0" fontId="4" fillId="0" borderId="23" xfId="0" applyFont="1" applyFill="1" applyBorder="1" applyAlignment="1">
      <alignment horizontal="left"/>
    </xf>
    <xf numFmtId="0" fontId="4" fillId="0" borderId="16" xfId="0" applyFont="1" applyFill="1" applyBorder="1" applyAlignment="1">
      <alignment horizontal="center" vertical="center" wrapText="1"/>
    </xf>
    <xf numFmtId="44" fontId="4" fillId="0" borderId="0" xfId="3" applyFont="1" applyBorder="1" applyAlignment="1">
      <alignment horizontal="right"/>
    </xf>
    <xf numFmtId="44" fontId="3" fillId="0" borderId="0" xfId="3" applyFont="1" applyBorder="1" applyAlignment="1">
      <alignment horizontal="center" wrapText="1"/>
    </xf>
    <xf numFmtId="44" fontId="4" fillId="0" borderId="28" xfId="0" applyNumberFormat="1" applyFont="1" applyBorder="1"/>
    <xf numFmtId="49" fontId="3" fillId="0" borderId="0" xfId="0" applyNumberFormat="1" applyFont="1" applyBorder="1" applyAlignment="1">
      <alignment horizontal="right"/>
    </xf>
    <xf numFmtId="49" fontId="28" fillId="0" borderId="0" xfId="0" applyNumberFormat="1" applyFont="1" applyBorder="1"/>
    <xf numFmtId="49" fontId="28" fillId="0" borderId="22" xfId="0" applyNumberFormat="1" applyFont="1" applyBorder="1"/>
    <xf numFmtId="0" fontId="4" fillId="0" borderId="0" xfId="0" applyFont="1" applyFill="1" applyBorder="1" applyAlignment="1">
      <alignment horizontal="right"/>
    </xf>
    <xf numFmtId="0" fontId="2" fillId="0" borderId="0" xfId="0" applyFont="1" applyFill="1" applyBorder="1" applyAlignment="1">
      <alignment horizontal="right"/>
    </xf>
    <xf numFmtId="44" fontId="4" fillId="0" borderId="28" xfId="0" applyNumberFormat="1" applyFont="1" applyFill="1" applyBorder="1"/>
    <xf numFmtId="0" fontId="32" fillId="0" borderId="0" xfId="5" applyFont="1"/>
    <xf numFmtId="0" fontId="30" fillId="0" borderId="0" xfId="5"/>
    <xf numFmtId="0" fontId="33" fillId="0" borderId="0" xfId="0" applyFont="1"/>
    <xf numFmtId="0" fontId="34" fillId="0" borderId="0" xfId="5" applyFont="1"/>
    <xf numFmtId="0" fontId="30" fillId="0" borderId="0" xfId="5" applyAlignment="1">
      <alignment horizontal="centerContinuous"/>
    </xf>
    <xf numFmtId="0" fontId="35" fillId="0" borderId="0" xfId="5" applyFont="1"/>
    <xf numFmtId="0" fontId="26" fillId="0" borderId="0" xfId="5" applyFont="1"/>
    <xf numFmtId="0" fontId="2" fillId="0" borderId="0" xfId="5" applyFont="1"/>
    <xf numFmtId="0" fontId="27" fillId="0" borderId="25" xfId="5" applyFont="1" applyBorder="1"/>
    <xf numFmtId="0" fontId="32" fillId="0" borderId="25" xfId="5" applyFont="1" applyBorder="1"/>
    <xf numFmtId="0" fontId="30" fillId="0" borderId="0" xfId="5" applyFont="1"/>
    <xf numFmtId="0" fontId="9" fillId="0" borderId="33" xfId="6" applyFont="1" applyFill="1" applyBorder="1" applyAlignment="1">
      <alignment horizontal="left"/>
    </xf>
    <xf numFmtId="0" fontId="30" fillId="0" borderId="0" xfId="5" applyFont="1" applyAlignment="1">
      <alignment horizontal="left"/>
    </xf>
    <xf numFmtId="0" fontId="30" fillId="0" borderId="34" xfId="5" applyFont="1" applyBorder="1" applyAlignment="1">
      <alignment horizontal="left"/>
    </xf>
    <xf numFmtId="0" fontId="30" fillId="0" borderId="35" xfId="5" applyFont="1" applyBorder="1" applyAlignment="1">
      <alignment horizontal="centerContinuous"/>
    </xf>
    <xf numFmtId="0" fontId="30" fillId="0" borderId="36" xfId="5" applyFont="1" applyBorder="1"/>
    <xf numFmtId="0" fontId="30" fillId="0" borderId="0" xfId="5" applyFont="1" applyBorder="1"/>
    <xf numFmtId="0" fontId="2" fillId="0" borderId="0" xfId="5" applyFont="1" applyBorder="1"/>
    <xf numFmtId="0" fontId="30" fillId="0" borderId="37" xfId="5" applyFont="1" applyBorder="1"/>
    <xf numFmtId="0" fontId="30" fillId="0" borderId="12" xfId="5" applyFont="1" applyBorder="1" applyAlignment="1">
      <alignment horizontal="centerContinuous"/>
    </xf>
    <xf numFmtId="0" fontId="30" fillId="0" borderId="38" xfId="5" applyFont="1" applyBorder="1" applyAlignment="1">
      <alignment horizontal="center"/>
    </xf>
    <xf numFmtId="0" fontId="30" fillId="0" borderId="39" xfId="5" applyFont="1" applyBorder="1" applyAlignment="1">
      <alignment horizontal="left"/>
    </xf>
    <xf numFmtId="0" fontId="30" fillId="0" borderId="40" xfId="5" applyFont="1" applyBorder="1" applyAlignment="1">
      <alignment horizontal="center"/>
    </xf>
    <xf numFmtId="0" fontId="30" fillId="0" borderId="41" xfId="5" applyFont="1" applyBorder="1" applyAlignment="1">
      <alignment horizontal="centerContinuous"/>
    </xf>
    <xf numFmtId="0" fontId="30" fillId="0" borderId="0" xfId="5" applyFont="1" applyBorder="1" applyAlignment="1">
      <alignment horizontal="center"/>
    </xf>
    <xf numFmtId="0" fontId="30" fillId="0" borderId="0" xfId="5" applyFont="1" applyAlignment="1">
      <alignment horizontal="centerContinuous"/>
    </xf>
    <xf numFmtId="0" fontId="30" fillId="3" borderId="10" xfId="5" applyFill="1" applyBorder="1"/>
    <xf numFmtId="0" fontId="27" fillId="0" borderId="0" xfId="5" applyFont="1" applyAlignment="1">
      <alignment horizontal="center"/>
    </xf>
    <xf numFmtId="0" fontId="27" fillId="0" borderId="0" xfId="5" applyFont="1" applyAlignment="1">
      <alignment horizontal="centerContinuous"/>
    </xf>
    <xf numFmtId="0" fontId="30" fillId="0" borderId="42" xfId="5" applyFont="1" applyBorder="1"/>
    <xf numFmtId="0" fontId="30" fillId="0" borderId="42" xfId="5" applyFont="1" applyBorder="1" applyAlignment="1">
      <alignment horizontal="centerContinuous"/>
    </xf>
    <xf numFmtId="3" fontId="30" fillId="0" borderId="43" xfId="5" applyNumberFormat="1" applyFont="1" applyFill="1" applyBorder="1"/>
    <xf numFmtId="1" fontId="30" fillId="4" borderId="45" xfId="5" applyNumberFormat="1" applyFont="1" applyFill="1" applyBorder="1"/>
    <xf numFmtId="3" fontId="30" fillId="0" borderId="47" xfId="5" applyNumberFormat="1" applyFont="1" applyBorder="1"/>
    <xf numFmtId="1" fontId="30" fillId="4" borderId="27" xfId="5" applyNumberFormat="1" applyFont="1" applyFill="1" applyBorder="1"/>
    <xf numFmtId="3" fontId="30" fillId="0" borderId="10" xfId="5" applyNumberFormat="1" applyFont="1" applyBorder="1"/>
    <xf numFmtId="3" fontId="30" fillId="0" borderId="54" xfId="5" applyNumberFormat="1" applyFont="1" applyBorder="1"/>
    <xf numFmtId="3" fontId="30" fillId="0" borderId="10" xfId="5" applyNumberFormat="1" applyFont="1" applyBorder="1" applyAlignment="1">
      <alignment horizontal="right"/>
    </xf>
    <xf numFmtId="1" fontId="30" fillId="4" borderId="57" xfId="5" applyNumberFormat="1" applyFont="1" applyFill="1" applyBorder="1"/>
    <xf numFmtId="3" fontId="30" fillId="0" borderId="59" xfId="5" applyNumberFormat="1" applyFont="1" applyBorder="1"/>
    <xf numFmtId="0" fontId="27" fillId="0" borderId="0" xfId="5" applyFont="1"/>
    <xf numFmtId="3" fontId="30" fillId="0" borderId="60" xfId="5" applyNumberFormat="1" applyFont="1" applyFill="1" applyBorder="1"/>
    <xf numFmtId="3" fontId="30" fillId="0" borderId="62" xfId="5" applyNumberFormat="1" applyFont="1" applyBorder="1"/>
    <xf numFmtId="4" fontId="30" fillId="0" borderId="0" xfId="5" applyNumberFormat="1" applyFont="1"/>
    <xf numFmtId="4" fontId="30" fillId="0" borderId="63" xfId="5" applyNumberFormat="1" applyFont="1" applyFill="1" applyBorder="1"/>
    <xf numFmtId="4" fontId="30" fillId="0" borderId="64" xfId="5" applyNumberFormat="1" applyFont="1" applyBorder="1"/>
    <xf numFmtId="4" fontId="30" fillId="0" borderId="36" xfId="5" applyNumberFormat="1" applyFont="1" applyBorder="1"/>
    <xf numFmtId="4" fontId="30" fillId="0" borderId="66" xfId="5" applyNumberFormat="1" applyFont="1" applyFill="1" applyBorder="1"/>
    <xf numFmtId="4" fontId="30" fillId="0" borderId="58" xfId="5" applyNumberFormat="1" applyFont="1" applyFill="1" applyBorder="1"/>
    <xf numFmtId="4" fontId="30" fillId="0" borderId="67" xfId="5" applyNumberFormat="1" applyFont="1" applyFill="1" applyBorder="1"/>
    <xf numFmtId="0" fontId="30" fillId="0" borderId="0" xfId="5" applyFont="1" applyAlignment="1">
      <alignment horizontal="right"/>
    </xf>
    <xf numFmtId="0" fontId="27" fillId="0" borderId="0" xfId="5" applyFont="1" applyAlignment="1">
      <alignment horizontal="left"/>
    </xf>
    <xf numFmtId="0" fontId="30" fillId="4" borderId="45" xfId="5" applyFont="1" applyFill="1" applyBorder="1"/>
    <xf numFmtId="3" fontId="30" fillId="0" borderId="69" xfId="5" applyNumberFormat="1" applyFont="1" applyBorder="1"/>
    <xf numFmtId="0" fontId="30" fillId="4" borderId="0" xfId="5" applyFont="1" applyFill="1" applyBorder="1"/>
    <xf numFmtId="3" fontId="30" fillId="0" borderId="70" xfId="5" applyNumberFormat="1" applyFont="1" applyBorder="1"/>
    <xf numFmtId="0" fontId="30" fillId="4" borderId="42" xfId="5" applyFont="1" applyFill="1" applyBorder="1"/>
    <xf numFmtId="3" fontId="30" fillId="0" borderId="0" xfId="5" applyNumberFormat="1" applyFont="1"/>
    <xf numFmtId="171" fontId="30" fillId="0" borderId="72" xfId="5" applyNumberFormat="1" applyFont="1" applyBorder="1" applyAlignment="1">
      <alignment horizontal="right"/>
    </xf>
    <xf numFmtId="4" fontId="30" fillId="0" borderId="10" xfId="5" applyNumberFormat="1" applyFont="1" applyBorder="1" applyAlignment="1">
      <alignment horizontal="right"/>
    </xf>
    <xf numFmtId="4" fontId="30" fillId="0" borderId="75" xfId="5" applyNumberFormat="1" applyFont="1" applyBorder="1" applyAlignment="1">
      <alignment horizontal="right"/>
    </xf>
    <xf numFmtId="4" fontId="30" fillId="0" borderId="37" xfId="5" applyNumberFormat="1" applyFont="1" applyFill="1" applyBorder="1" applyAlignment="1">
      <alignment horizontal="right"/>
    </xf>
    <xf numFmtId="4" fontId="30" fillId="0" borderId="10" xfId="5" applyNumberFormat="1" applyFont="1" applyFill="1" applyBorder="1" applyAlignment="1">
      <alignment horizontal="right"/>
    </xf>
    <xf numFmtId="4" fontId="30" fillId="0" borderId="76" xfId="5" applyNumberFormat="1" applyFont="1" applyFill="1" applyBorder="1" applyAlignment="1">
      <alignment horizontal="right"/>
    </xf>
    <xf numFmtId="4" fontId="30" fillId="4" borderId="13" xfId="5" applyNumberFormat="1" applyFont="1" applyFill="1" applyBorder="1" applyAlignment="1">
      <alignment horizontal="right"/>
    </xf>
    <xf numFmtId="4" fontId="30" fillId="0" borderId="56" xfId="5" applyNumberFormat="1" applyFont="1" applyFill="1" applyBorder="1" applyAlignment="1">
      <alignment horizontal="right"/>
    </xf>
    <xf numFmtId="171" fontId="30" fillId="4" borderId="14" xfId="5" applyNumberFormat="1" applyFont="1" applyFill="1" applyBorder="1" applyAlignment="1">
      <alignment horizontal="right"/>
    </xf>
    <xf numFmtId="171" fontId="30" fillId="0" borderId="56" xfId="5" applyNumberFormat="1" applyFont="1" applyFill="1" applyBorder="1" applyAlignment="1">
      <alignment horizontal="right"/>
    </xf>
    <xf numFmtId="171" fontId="30" fillId="0" borderId="10" xfId="5" applyNumberFormat="1" applyFont="1" applyBorder="1" applyAlignment="1">
      <alignment horizontal="right"/>
    </xf>
    <xf numFmtId="171" fontId="30" fillId="0" borderId="75" xfId="5" applyNumberFormat="1" applyFont="1" applyBorder="1" applyAlignment="1">
      <alignment horizontal="right"/>
    </xf>
    <xf numFmtId="0" fontId="30" fillId="0" borderId="0" xfId="0" applyFont="1" applyAlignment="1"/>
    <xf numFmtId="0" fontId="30" fillId="0" borderId="50" xfId="0" applyFont="1" applyBorder="1" applyAlignment="1"/>
    <xf numFmtId="4" fontId="30" fillId="0" borderId="13" xfId="5" applyNumberFormat="1" applyFont="1" applyBorder="1" applyAlignment="1">
      <alignment horizontal="right"/>
    </xf>
    <xf numFmtId="4" fontId="30" fillId="0" borderId="76" xfId="5" applyNumberFormat="1" applyFont="1" applyBorder="1" applyAlignment="1">
      <alignment horizontal="right"/>
    </xf>
    <xf numFmtId="4" fontId="30" fillId="0" borderId="80" xfId="5" applyNumberFormat="1" applyFont="1" applyBorder="1" applyAlignment="1">
      <alignment horizontal="right"/>
    </xf>
    <xf numFmtId="4" fontId="30" fillId="0" borderId="82" xfId="5" applyNumberFormat="1" applyFont="1" applyBorder="1" applyAlignment="1">
      <alignment horizontal="right"/>
    </xf>
    <xf numFmtId="4" fontId="30" fillId="4" borderId="68" xfId="5" applyNumberFormat="1" applyFont="1" applyFill="1" applyBorder="1" applyAlignment="1">
      <alignment horizontal="right"/>
    </xf>
    <xf numFmtId="4" fontId="30" fillId="0" borderId="36" xfId="5" applyNumberFormat="1" applyFont="1" applyBorder="1" applyAlignment="1">
      <alignment horizontal="right"/>
    </xf>
    <xf numFmtId="4" fontId="30" fillId="4" borderId="55" xfId="5" applyNumberFormat="1" applyFont="1" applyFill="1" applyBorder="1" applyAlignment="1">
      <alignment horizontal="right"/>
    </xf>
    <xf numFmtId="4" fontId="30" fillId="0" borderId="38" xfId="5" applyNumberFormat="1" applyFont="1" applyBorder="1" applyAlignment="1">
      <alignment horizontal="right"/>
    </xf>
    <xf numFmtId="0" fontId="30" fillId="0" borderId="0" xfId="5" applyAlignment="1">
      <alignment vertical="top"/>
    </xf>
    <xf numFmtId="4" fontId="30" fillId="4" borderId="55" xfId="5" applyNumberFormat="1" applyFont="1" applyFill="1" applyBorder="1" applyAlignment="1">
      <alignment horizontal="right" vertical="top"/>
    </xf>
    <xf numFmtId="4" fontId="30" fillId="0" borderId="38" xfId="5" applyNumberFormat="1" applyFont="1" applyBorder="1" applyAlignment="1">
      <alignment horizontal="right" vertical="top"/>
    </xf>
    <xf numFmtId="4" fontId="30" fillId="4" borderId="83" xfId="5" applyNumberFormat="1" applyFont="1" applyFill="1" applyBorder="1" applyAlignment="1">
      <alignment horizontal="right"/>
    </xf>
    <xf numFmtId="4" fontId="30" fillId="0" borderId="61" xfId="5" applyNumberFormat="1" applyFont="1" applyBorder="1" applyAlignment="1">
      <alignment horizontal="right"/>
    </xf>
    <xf numFmtId="172" fontId="30" fillId="0" borderId="0" xfId="5" applyNumberFormat="1" applyFont="1" applyAlignment="1">
      <alignment horizontal="right"/>
    </xf>
    <xf numFmtId="4" fontId="30" fillId="0" borderId="84" xfId="5" applyNumberFormat="1" applyFont="1" applyBorder="1" applyAlignment="1">
      <alignment horizontal="right"/>
    </xf>
    <xf numFmtId="0" fontId="30" fillId="0" borderId="0" xfId="5" applyFont="1" applyProtection="1">
      <protection locked="0"/>
    </xf>
    <xf numFmtId="173" fontId="30" fillId="4" borderId="86" xfId="5" applyNumberFormat="1" applyFont="1" applyFill="1" applyBorder="1" applyAlignment="1">
      <alignment horizontal="right"/>
    </xf>
    <xf numFmtId="173" fontId="30" fillId="0" borderId="62" xfId="5" applyNumberFormat="1" applyFont="1" applyBorder="1" applyAlignment="1">
      <alignment horizontal="right"/>
    </xf>
    <xf numFmtId="0" fontId="0" fillId="0" borderId="0" xfId="0" applyAlignment="1">
      <alignment horizontal="centerContinuous"/>
    </xf>
    <xf numFmtId="3" fontId="30" fillId="2" borderId="69" xfId="5" applyNumberFormat="1" applyFont="1" applyFill="1" applyBorder="1"/>
    <xf numFmtId="3" fontId="30" fillId="2" borderId="62" xfId="5" applyNumberFormat="1" applyFont="1" applyFill="1" applyBorder="1"/>
    <xf numFmtId="171" fontId="30" fillId="2" borderId="73" xfId="5" applyNumberFormat="1" applyFont="1" applyFill="1" applyBorder="1" applyAlignment="1">
      <alignment horizontal="right"/>
    </xf>
    <xf numFmtId="4" fontId="30" fillId="2" borderId="78" xfId="5" applyNumberFormat="1" applyFont="1" applyFill="1" applyBorder="1" applyAlignment="1">
      <alignment horizontal="right"/>
    </xf>
    <xf numFmtId="0" fontId="8" fillId="0" borderId="0" xfId="5" applyFont="1" applyAlignment="1">
      <alignment horizontal="center"/>
    </xf>
    <xf numFmtId="0" fontId="8" fillId="0" borderId="0" xfId="5" applyFont="1" applyAlignment="1">
      <alignment horizontal="centerContinuous"/>
    </xf>
    <xf numFmtId="0" fontId="8" fillId="0" borderId="0" xfId="5" applyFont="1" applyBorder="1" applyAlignment="1">
      <alignment horizontal="center"/>
    </xf>
    <xf numFmtId="0" fontId="2" fillId="0" borderId="0" xfId="5" applyFont="1" applyBorder="1" applyAlignment="1">
      <alignment horizontal="center"/>
    </xf>
    <xf numFmtId="0" fontId="2" fillId="0" borderId="0" xfId="5" applyFont="1" applyAlignment="1">
      <alignment horizontal="center"/>
    </xf>
    <xf numFmtId="0" fontId="2" fillId="0" borderId="0" xfId="5" applyFont="1" applyAlignment="1">
      <alignment horizontal="centerContinuous"/>
    </xf>
    <xf numFmtId="4" fontId="30" fillId="0" borderId="38" xfId="5" applyNumberFormat="1" applyFont="1" applyFill="1" applyBorder="1" applyAlignment="1">
      <alignment horizontal="right"/>
    </xf>
    <xf numFmtId="0" fontId="30" fillId="0" borderId="10" xfId="5" applyFont="1" applyFill="1" applyBorder="1"/>
    <xf numFmtId="0" fontId="30" fillId="0" borderId="10" xfId="5" applyNumberFormat="1" applyFont="1" applyFill="1" applyBorder="1" applyAlignment="1">
      <alignment horizontal="center"/>
    </xf>
    <xf numFmtId="0" fontId="30" fillId="0" borderId="10" xfId="5" applyFill="1" applyBorder="1"/>
    <xf numFmtId="0" fontId="30" fillId="0" borderId="10" xfId="5" applyFont="1" applyFill="1" applyBorder="1" applyAlignment="1">
      <alignment horizontal="center"/>
    </xf>
    <xf numFmtId="1" fontId="30" fillId="0" borderId="44" xfId="5" applyNumberFormat="1" applyFont="1" applyFill="1" applyBorder="1" applyAlignment="1">
      <alignment horizontal="centerContinuous"/>
    </xf>
    <xf numFmtId="1" fontId="30" fillId="0" borderId="48" xfId="5" applyNumberFormat="1" applyFill="1" applyBorder="1"/>
    <xf numFmtId="3" fontId="30" fillId="0" borderId="49" xfId="5" applyNumberFormat="1" applyFont="1" applyFill="1" applyBorder="1" applyAlignment="1">
      <alignment horizontal="right"/>
    </xf>
    <xf numFmtId="1" fontId="30" fillId="0" borderId="51" xfId="5" applyNumberFormat="1" applyFont="1" applyFill="1" applyBorder="1"/>
    <xf numFmtId="1" fontId="30" fillId="0" borderId="52" xfId="5" applyNumberFormat="1" applyFont="1" applyFill="1" applyBorder="1" applyAlignment="1">
      <alignment horizontal="right"/>
    </xf>
    <xf numFmtId="1" fontId="30" fillId="0" borderId="55" xfId="5" applyNumberFormat="1" applyFont="1" applyFill="1" applyBorder="1" applyAlignment="1">
      <alignment horizontal="right"/>
    </xf>
    <xf numFmtId="1" fontId="30" fillId="0" borderId="42" xfId="5" applyNumberFormat="1" applyFont="1" applyFill="1" applyBorder="1" applyAlignment="1">
      <alignment horizontal="right"/>
    </xf>
    <xf numFmtId="3" fontId="30" fillId="0" borderId="61" xfId="5" applyNumberFormat="1" applyFont="1" applyFill="1" applyBorder="1" applyAlignment="1">
      <alignment horizontal="right"/>
    </xf>
    <xf numFmtId="4" fontId="30" fillId="0" borderId="0" xfId="5" applyNumberFormat="1" applyFont="1" applyFill="1"/>
    <xf numFmtId="4" fontId="30" fillId="0" borderId="0" xfId="5" applyNumberFormat="1" applyFont="1" applyFill="1" applyAlignment="1">
      <alignment horizontal="right"/>
    </xf>
    <xf numFmtId="4" fontId="30" fillId="0" borderId="64" xfId="5" applyNumberFormat="1" applyFont="1" applyFill="1" applyBorder="1"/>
    <xf numFmtId="0" fontId="30" fillId="0" borderId="0" xfId="5" applyFont="1" applyFill="1"/>
    <xf numFmtId="0" fontId="30" fillId="0" borderId="0" xfId="5" applyFont="1" applyFill="1" applyAlignment="1">
      <alignment horizontal="right"/>
    </xf>
    <xf numFmtId="0" fontId="30" fillId="0" borderId="34" xfId="5" applyFont="1" applyFill="1" applyBorder="1"/>
    <xf numFmtId="0" fontId="30" fillId="0" borderId="45" xfId="5" applyFont="1" applyFill="1" applyBorder="1" applyAlignment="1">
      <alignment horizontal="right"/>
    </xf>
    <xf numFmtId="0" fontId="30" fillId="0" borderId="51" xfId="5" applyFont="1" applyFill="1" applyBorder="1"/>
    <xf numFmtId="0" fontId="30" fillId="0" borderId="0" xfId="5" applyFont="1" applyFill="1" applyBorder="1" applyAlignment="1">
      <alignment horizontal="right"/>
    </xf>
    <xf numFmtId="0" fontId="30" fillId="0" borderId="39" xfId="5" applyFont="1" applyFill="1" applyBorder="1"/>
    <xf numFmtId="0" fontId="30" fillId="0" borderId="42" xfId="5" applyFont="1" applyFill="1" applyBorder="1" applyAlignment="1">
      <alignment horizontal="right"/>
    </xf>
    <xf numFmtId="3" fontId="30" fillId="0" borderId="0" xfId="5" applyNumberFormat="1" applyFont="1" applyFill="1"/>
    <xf numFmtId="3" fontId="30" fillId="0" borderId="0" xfId="5" applyNumberFormat="1" applyFont="1" applyFill="1" applyAlignment="1">
      <alignment horizontal="right"/>
    </xf>
    <xf numFmtId="171" fontId="30" fillId="0" borderId="71" xfId="5" applyNumberFormat="1" applyFont="1" applyFill="1" applyBorder="1" applyAlignment="1">
      <alignment horizontal="right"/>
    </xf>
    <xf numFmtId="171" fontId="30" fillId="0" borderId="72" xfId="5" applyNumberFormat="1" applyFont="1" applyFill="1" applyBorder="1" applyAlignment="1">
      <alignment horizontal="right"/>
    </xf>
    <xf numFmtId="4" fontId="30" fillId="0" borderId="74" xfId="5" applyNumberFormat="1" applyFont="1" applyFill="1" applyBorder="1" applyAlignment="1">
      <alignment horizontal="right"/>
    </xf>
    <xf numFmtId="4" fontId="30" fillId="0" borderId="13" xfId="5" applyNumberFormat="1" applyFont="1" applyFill="1" applyBorder="1" applyAlignment="1">
      <alignment horizontal="right"/>
    </xf>
    <xf numFmtId="171" fontId="30" fillId="0" borderId="74" xfId="5" applyNumberFormat="1" applyFont="1" applyFill="1" applyBorder="1" applyAlignment="1">
      <alignment horizontal="right"/>
    </xf>
    <xf numFmtId="171" fontId="30" fillId="0" borderId="14" xfId="5" applyNumberFormat="1" applyFont="1" applyFill="1" applyBorder="1" applyAlignment="1">
      <alignment horizontal="right"/>
    </xf>
    <xf numFmtId="171" fontId="30" fillId="0" borderId="10" xfId="5" applyNumberFormat="1" applyFont="1" applyFill="1" applyBorder="1" applyAlignment="1">
      <alignment horizontal="right"/>
    </xf>
    <xf numFmtId="4" fontId="30" fillId="0" borderId="48" xfId="5" applyNumberFormat="1" applyFont="1" applyFill="1" applyBorder="1" applyAlignment="1">
      <alignment horizontal="right"/>
    </xf>
    <xf numFmtId="4" fontId="30" fillId="0" borderId="77" xfId="5" applyNumberFormat="1" applyFont="1" applyFill="1" applyBorder="1" applyAlignment="1">
      <alignment horizontal="right"/>
    </xf>
    <xf numFmtId="4" fontId="30" fillId="0" borderId="79" xfId="5" applyNumberFormat="1" applyFont="1" applyFill="1" applyBorder="1" applyAlignment="1">
      <alignment horizontal="right"/>
    </xf>
    <xf numFmtId="4" fontId="30" fillId="0" borderId="80" xfId="5" applyNumberFormat="1" applyFont="1" applyFill="1" applyBorder="1" applyAlignment="1">
      <alignment horizontal="right"/>
    </xf>
    <xf numFmtId="4" fontId="30" fillId="0" borderId="34" xfId="5" applyNumberFormat="1" applyFont="1" applyFill="1" applyBorder="1" applyAlignment="1">
      <alignment horizontal="right"/>
    </xf>
    <xf numFmtId="4" fontId="30" fillId="0" borderId="45" xfId="5" applyNumberFormat="1" applyFont="1" applyFill="1" applyBorder="1" applyAlignment="1">
      <alignment horizontal="right"/>
    </xf>
    <xf numFmtId="4" fontId="30" fillId="0" borderId="51" xfId="5" applyNumberFormat="1" applyFont="1" applyFill="1" applyBorder="1" applyAlignment="1">
      <alignment horizontal="right"/>
    </xf>
    <xf numFmtId="4" fontId="30" fillId="0" borderId="0" xfId="5" applyNumberFormat="1" applyFont="1" applyFill="1" applyBorder="1" applyAlignment="1">
      <alignment horizontal="right"/>
    </xf>
    <xf numFmtId="4" fontId="30" fillId="0" borderId="51" xfId="5" applyNumberFormat="1" applyFont="1" applyFill="1" applyBorder="1" applyAlignment="1">
      <alignment horizontal="right" vertical="top"/>
    </xf>
    <xf numFmtId="4" fontId="30" fillId="0" borderId="0" xfId="5" applyNumberFormat="1" applyFont="1" applyFill="1" applyBorder="1" applyAlignment="1">
      <alignment horizontal="right" vertical="top"/>
    </xf>
    <xf numFmtId="4" fontId="30" fillId="0" borderId="39" xfId="5" applyNumberFormat="1" applyFont="1" applyFill="1" applyBorder="1" applyAlignment="1">
      <alignment horizontal="right"/>
    </xf>
    <xf numFmtId="4" fontId="30" fillId="0" borderId="42" xfId="5" applyNumberFormat="1" applyFont="1" applyFill="1" applyBorder="1" applyAlignment="1">
      <alignment horizontal="right"/>
    </xf>
    <xf numFmtId="172" fontId="30" fillId="0" borderId="0" xfId="5" applyNumberFormat="1" applyFont="1" applyFill="1" applyAlignment="1">
      <alignment horizontal="right"/>
    </xf>
    <xf numFmtId="4" fontId="30" fillId="0" borderId="60" xfId="5" applyNumberFormat="1" applyFont="1" applyFill="1" applyBorder="1" applyAlignment="1">
      <alignment horizontal="right"/>
    </xf>
    <xf numFmtId="4" fontId="30" fillId="0" borderId="84" xfId="5" applyNumberFormat="1" applyFont="1" applyFill="1" applyBorder="1" applyAlignment="1">
      <alignment horizontal="right"/>
    </xf>
    <xf numFmtId="4" fontId="30" fillId="0" borderId="85" xfId="5" applyNumberFormat="1" applyFont="1" applyFill="1" applyBorder="1" applyAlignment="1">
      <alignment horizontal="right"/>
    </xf>
    <xf numFmtId="173" fontId="30" fillId="0" borderId="86" xfId="5" applyNumberFormat="1" applyFont="1" applyFill="1" applyBorder="1" applyAlignment="1">
      <alignment horizontal="right"/>
    </xf>
    <xf numFmtId="0" fontId="30" fillId="0" borderId="0" xfId="5" applyFill="1"/>
    <xf numFmtId="0" fontId="30" fillId="0" borderId="0" xfId="5" applyFill="1" applyAlignment="1">
      <alignment horizontal="centerContinuous"/>
    </xf>
    <xf numFmtId="0" fontId="30" fillId="0" borderId="0" xfId="5" applyFont="1" applyFill="1" applyAlignment="1">
      <alignment horizontal="centerContinuous"/>
    </xf>
    <xf numFmtId="0" fontId="0" fillId="0" borderId="0" xfId="0" applyFill="1" applyAlignment="1">
      <alignment horizontal="centerContinuous"/>
    </xf>
    <xf numFmtId="0" fontId="33" fillId="0" borderId="0" xfId="0" applyFont="1" applyFill="1"/>
    <xf numFmtId="0" fontId="30" fillId="0" borderId="35" xfId="5" applyFont="1" applyFill="1" applyBorder="1" applyAlignment="1">
      <alignment horizontal="centerContinuous"/>
    </xf>
    <xf numFmtId="0" fontId="30" fillId="0" borderId="36" xfId="5" applyFont="1" applyFill="1" applyBorder="1"/>
    <xf numFmtId="0" fontId="30" fillId="0" borderId="12" xfId="5" applyFont="1" applyFill="1" applyBorder="1" applyAlignment="1">
      <alignment horizontal="centerContinuous"/>
    </xf>
    <xf numFmtId="0" fontId="30" fillId="0" borderId="38" xfId="5" applyFont="1" applyFill="1" applyBorder="1" applyAlignment="1">
      <alignment horizontal="center"/>
    </xf>
    <xf numFmtId="0" fontId="30" fillId="0" borderId="40" xfId="5" applyFont="1" applyFill="1" applyBorder="1" applyAlignment="1">
      <alignment horizontal="center"/>
    </xf>
    <xf numFmtId="0" fontId="30" fillId="0" borderId="41" xfId="5" applyFont="1" applyFill="1" applyBorder="1" applyAlignment="1">
      <alignment horizontal="centerContinuous"/>
    </xf>
    <xf numFmtId="0" fontId="30" fillId="0" borderId="0" xfId="5" applyFont="1" applyFill="1" applyBorder="1" applyAlignment="1">
      <alignment horizontal="center"/>
    </xf>
    <xf numFmtId="0" fontId="30" fillId="0" borderId="0" xfId="5" applyFont="1" applyFill="1" applyBorder="1" applyAlignment="1">
      <alignment horizontal="centerContinuous"/>
    </xf>
    <xf numFmtId="0" fontId="30" fillId="0" borderId="0" xfId="5" applyFont="1" applyFill="1" applyAlignment="1">
      <alignment horizontal="center"/>
    </xf>
    <xf numFmtId="0" fontId="8" fillId="0" borderId="0" xfId="5" applyFont="1" applyFill="1" applyAlignment="1">
      <alignment horizontal="center"/>
    </xf>
    <xf numFmtId="0" fontId="8" fillId="0" borderId="0" xfId="5" applyFont="1" applyFill="1" applyAlignment="1">
      <alignment horizontal="centerContinuous"/>
    </xf>
    <xf numFmtId="0" fontId="30" fillId="0" borderId="42" xfId="5" applyFont="1" applyFill="1" applyBorder="1"/>
    <xf numFmtId="0" fontId="30" fillId="0" borderId="42" xfId="5" applyFont="1" applyFill="1" applyBorder="1" applyAlignment="1">
      <alignment horizontal="centerContinuous"/>
    </xf>
    <xf numFmtId="0" fontId="30" fillId="2" borderId="0" xfId="5" applyFont="1" applyFill="1" applyAlignment="1">
      <alignment horizontal="centerContinuous"/>
    </xf>
    <xf numFmtId="0" fontId="30" fillId="2" borderId="0" xfId="5" applyFill="1"/>
    <xf numFmtId="0" fontId="30" fillId="2" borderId="0" xfId="5" applyFont="1" applyFill="1"/>
    <xf numFmtId="44" fontId="3" fillId="0" borderId="0" xfId="3" applyNumberFormat="1" applyFont="1"/>
    <xf numFmtId="44" fontId="4" fillId="0" borderId="0" xfId="3" applyNumberFormat="1" applyFont="1"/>
    <xf numFmtId="0" fontId="4" fillId="0" borderId="2" xfId="0" applyFont="1" applyBorder="1"/>
    <xf numFmtId="44" fontId="4" fillId="0" borderId="22" xfId="0" applyNumberFormat="1" applyFont="1" applyBorder="1" applyAlignment="1">
      <alignment horizontal="right"/>
    </xf>
    <xf numFmtId="44" fontId="4" fillId="0" borderId="22" xfId="0" applyNumberFormat="1" applyFont="1" applyBorder="1" applyAlignment="1">
      <alignment horizontal="right" wrapText="1"/>
    </xf>
    <xf numFmtId="0" fontId="4" fillId="0" borderId="22" xfId="0" applyFont="1" applyBorder="1" applyAlignment="1">
      <alignment horizontal="right"/>
    </xf>
    <xf numFmtId="0" fontId="4" fillId="0" borderId="24" xfId="0" applyFont="1" applyBorder="1" applyAlignment="1">
      <alignment horizontal="right"/>
    </xf>
    <xf numFmtId="44" fontId="4" fillId="0" borderId="25" xfId="3" applyFont="1" applyBorder="1"/>
    <xf numFmtId="0" fontId="4" fillId="0" borderId="25" xfId="0" applyFont="1" applyBorder="1" applyAlignment="1">
      <alignment horizontal="right"/>
    </xf>
    <xf numFmtId="0" fontId="4" fillId="0" borderId="26" xfId="0" applyFont="1" applyBorder="1"/>
    <xf numFmtId="0" fontId="4" fillId="0" borderId="24" xfId="0" applyFont="1" applyBorder="1"/>
    <xf numFmtId="0" fontId="4" fillId="0" borderId="25" xfId="0" applyFont="1" applyBorder="1"/>
    <xf numFmtId="43" fontId="4" fillId="0" borderId="0" xfId="0" applyNumberFormat="1" applyFont="1" applyBorder="1"/>
    <xf numFmtId="43" fontId="4" fillId="0" borderId="0" xfId="3" applyNumberFormat="1" applyFont="1" applyBorder="1"/>
    <xf numFmtId="0" fontId="4" fillId="0" borderId="24" xfId="0" applyFont="1" applyBorder="1" applyAlignment="1">
      <alignment horizontal="center"/>
    </xf>
    <xf numFmtId="44" fontId="4" fillId="0" borderId="21" xfId="3" applyFont="1" applyBorder="1"/>
    <xf numFmtId="44" fontId="4" fillId="0" borderId="28" xfId="0" applyNumberFormat="1" applyFont="1" applyBorder="1" applyAlignment="1">
      <alignment horizontal="center"/>
    </xf>
    <xf numFmtId="44" fontId="4" fillId="0" borderId="25" xfId="0" applyNumberFormat="1" applyFont="1" applyBorder="1"/>
    <xf numFmtId="44" fontId="4" fillId="0" borderId="25" xfId="0" applyNumberFormat="1" applyFont="1" applyBorder="1" applyAlignment="1">
      <alignment horizontal="center"/>
    </xf>
    <xf numFmtId="44" fontId="3" fillId="0" borderId="25" xfId="3" applyFont="1" applyBorder="1" applyAlignment="1">
      <alignment horizontal="center" wrapText="1"/>
    </xf>
    <xf numFmtId="0" fontId="39" fillId="0" borderId="0" xfId="0" applyFont="1" applyBorder="1" applyAlignment="1">
      <alignment horizontal="center"/>
    </xf>
    <xf numFmtId="0" fontId="4" fillId="0" borderId="87" xfId="0" applyFont="1" applyBorder="1"/>
    <xf numFmtId="49" fontId="28" fillId="0" borderId="22" xfId="0" applyNumberFormat="1" applyFont="1" applyFill="1" applyBorder="1" applyAlignment="1">
      <alignment horizontal="center"/>
    </xf>
    <xf numFmtId="0" fontId="4" fillId="0" borderId="22" xfId="0" applyFont="1" applyFill="1" applyBorder="1" applyAlignment="1">
      <alignment horizontal="right"/>
    </xf>
    <xf numFmtId="44" fontId="4" fillId="0" borderId="0" xfId="3" applyFont="1" applyBorder="1" applyAlignment="1">
      <alignment horizontal="center"/>
    </xf>
    <xf numFmtId="0" fontId="10" fillId="0" borderId="0" xfId="0" applyFont="1" applyFill="1" applyAlignment="1" applyProtection="1">
      <alignment horizontal="center" vertical="center"/>
    </xf>
    <xf numFmtId="0" fontId="2" fillId="0" borderId="0" xfId="0" applyFont="1" applyFill="1" applyAlignment="1">
      <alignment horizontal="center" vertical="center"/>
    </xf>
    <xf numFmtId="0" fontId="10" fillId="0" borderId="0" xfId="0" applyFont="1" applyAlignment="1" applyProtection="1">
      <alignment horizontal="center" vertical="center"/>
    </xf>
    <xf numFmtId="0" fontId="2" fillId="0" borderId="0" xfId="0" applyFont="1" applyAlignment="1">
      <alignment horizontal="center" vertical="center"/>
    </xf>
    <xf numFmtId="0" fontId="4" fillId="0" borderId="21" xfId="0" applyFont="1" applyBorder="1" applyAlignment="1">
      <alignment horizontal="center"/>
    </xf>
    <xf numFmtId="0" fontId="4" fillId="0" borderId="21" xfId="0" applyFont="1" applyBorder="1" applyAlignment="1">
      <alignment horizontal="left"/>
    </xf>
    <xf numFmtId="164" fontId="3" fillId="0" borderId="0" xfId="0" applyNumberFormat="1" applyFont="1"/>
    <xf numFmtId="44" fontId="4" fillId="0" borderId="21" xfId="3" applyFont="1" applyBorder="1" applyAlignment="1">
      <alignment horizontal="right"/>
    </xf>
    <xf numFmtId="44" fontId="3" fillId="0" borderId="88" xfId="3" applyFont="1" applyBorder="1" applyAlignment="1">
      <alignment horizontal="right"/>
    </xf>
    <xf numFmtId="44" fontId="3" fillId="0" borderId="21" xfId="3" applyFont="1" applyBorder="1" applyAlignment="1">
      <alignment horizontal="right"/>
    </xf>
    <xf numFmtId="44" fontId="4" fillId="0" borderId="26" xfId="3" applyFont="1" applyBorder="1" applyAlignment="1">
      <alignment horizontal="right"/>
    </xf>
    <xf numFmtId="44" fontId="4" fillId="0" borderId="88" xfId="3" applyFont="1" applyBorder="1" applyAlignment="1">
      <alignment horizontal="right"/>
    </xf>
    <xf numFmtId="0" fontId="4" fillId="0" borderId="25" xfId="0" applyFont="1" applyBorder="1" applyAlignment="1">
      <alignment horizontal="center"/>
    </xf>
    <xf numFmtId="44" fontId="29" fillId="0" borderId="21" xfId="3" applyFont="1" applyBorder="1"/>
    <xf numFmtId="0" fontId="26" fillId="0" borderId="22" xfId="0" applyFont="1" applyBorder="1" applyAlignment="1">
      <alignment horizontal="right" vertical="center"/>
    </xf>
    <xf numFmtId="0" fontId="0" fillId="0" borderId="25" xfId="0" applyBorder="1"/>
    <xf numFmtId="14" fontId="8" fillId="0" borderId="0" xfId="0" applyNumberFormat="1" applyFont="1" applyFill="1" applyAlignment="1" applyProtection="1">
      <alignment horizontal="right" vertical="center"/>
    </xf>
    <xf numFmtId="0" fontId="8" fillId="0" borderId="0" xfId="0" applyFont="1" applyAlignment="1" applyProtection="1">
      <alignment horizontal="right" vertical="center"/>
    </xf>
    <xf numFmtId="14" fontId="4" fillId="0" borderId="0" xfId="0" applyNumberFormat="1" applyFont="1" applyBorder="1" applyAlignment="1">
      <alignment horizontal="right"/>
    </xf>
    <xf numFmtId="44" fontId="4" fillId="0" borderId="2" xfId="3" applyFont="1" applyBorder="1"/>
    <xf numFmtId="49" fontId="3" fillId="0" borderId="21" xfId="0" applyNumberFormat="1" applyFont="1" applyBorder="1"/>
    <xf numFmtId="49" fontId="3" fillId="0" borderId="26" xfId="0" applyNumberFormat="1" applyFont="1" applyBorder="1"/>
    <xf numFmtId="44" fontId="4" fillId="0" borderId="10" xfId="3" applyFont="1" applyFill="1" applyBorder="1" applyAlignment="1">
      <alignment horizontal="center"/>
    </xf>
    <xf numFmtId="0" fontId="4" fillId="0" borderId="0" xfId="0" applyFont="1" applyFill="1" applyBorder="1" applyAlignment="1">
      <alignment horizontal="center" wrapText="1"/>
    </xf>
    <xf numFmtId="0" fontId="15" fillId="0" borderId="0" xfId="0" applyFont="1"/>
    <xf numFmtId="0" fontId="16" fillId="0" borderId="0" xfId="0" applyFont="1" applyBorder="1"/>
    <xf numFmtId="0" fontId="3" fillId="0" borderId="0" xfId="0" applyFont="1"/>
    <xf numFmtId="0" fontId="3" fillId="0" borderId="0" xfId="0" applyNumberFormat="1" applyFont="1" applyFill="1"/>
    <xf numFmtId="0" fontId="3" fillId="0" borderId="0" xfId="0" applyNumberFormat="1" applyFont="1"/>
    <xf numFmtId="44" fontId="4" fillId="0" borderId="0" xfId="3" applyFont="1" applyFill="1"/>
    <xf numFmtId="8" fontId="4" fillId="0" borderId="0" xfId="0" applyNumberFormat="1" applyFont="1"/>
    <xf numFmtId="10" fontId="24" fillId="0" borderId="0" xfId="1" applyNumberFormat="1" applyFont="1" applyFill="1"/>
    <xf numFmtId="49" fontId="24" fillId="0" borderId="0" xfId="0" applyNumberFormat="1" applyFont="1" applyFill="1" applyAlignment="1">
      <alignment horizontal="right"/>
    </xf>
    <xf numFmtId="44" fontId="2" fillId="0" borderId="25" xfId="3" applyFont="1" applyBorder="1" applyAlignment="1">
      <alignment horizontal="center" wrapText="1"/>
    </xf>
    <xf numFmtId="44" fontId="3" fillId="0" borderId="25" xfId="3" applyFont="1" applyFill="1" applyBorder="1" applyAlignment="1">
      <alignment horizontal="center" wrapText="1"/>
    </xf>
    <xf numFmtId="44" fontId="4" fillId="0" borderId="25" xfId="3" applyFont="1" applyBorder="1" applyAlignment="1">
      <alignment horizontal="center" wrapText="1"/>
    </xf>
    <xf numFmtId="8" fontId="4" fillId="0" borderId="1" xfId="0" applyNumberFormat="1" applyFont="1" applyBorder="1" applyAlignment="1">
      <alignment horizontal="center" wrapText="1"/>
    </xf>
    <xf numFmtId="44" fontId="3" fillId="0" borderId="0" xfId="3" applyFont="1" applyFill="1"/>
    <xf numFmtId="49" fontId="3" fillId="0" borderId="0" xfId="0" applyNumberFormat="1" applyFont="1" applyFill="1"/>
    <xf numFmtId="8" fontId="3" fillId="0" borderId="0" xfId="3" applyNumberFormat="1" applyFont="1"/>
    <xf numFmtId="44" fontId="4" fillId="0" borderId="0" xfId="0" applyNumberFormat="1" applyFont="1"/>
    <xf numFmtId="44" fontId="3" fillId="0" borderId="9" xfId="3" applyFont="1" applyBorder="1"/>
    <xf numFmtId="44" fontId="3" fillId="0" borderId="9" xfId="3" applyFont="1" applyFill="1" applyBorder="1"/>
    <xf numFmtId="49" fontId="3" fillId="0" borderId="0" xfId="0" applyNumberFormat="1" applyFont="1" applyFill="1" applyAlignment="1">
      <alignment horizontal="left"/>
    </xf>
    <xf numFmtId="8" fontId="4" fillId="0" borderId="0" xfId="3" applyNumberFormat="1" applyFont="1"/>
    <xf numFmtId="44" fontId="3" fillId="0" borderId="15" xfId="3" applyFont="1" applyBorder="1"/>
    <xf numFmtId="49" fontId="3" fillId="0" borderId="0" xfId="0" applyNumberFormat="1" applyFont="1" applyAlignment="1">
      <alignment horizontal="center"/>
    </xf>
    <xf numFmtId="44" fontId="3" fillId="0" borderId="1" xfId="3" applyFont="1" applyBorder="1"/>
    <xf numFmtId="10" fontId="4" fillId="0" borderId="0" xfId="1" applyNumberFormat="1" applyFont="1" applyBorder="1" applyAlignment="1">
      <alignment horizontal="left"/>
    </xf>
    <xf numFmtId="44" fontId="3" fillId="0" borderId="2" xfId="3" applyFont="1" applyBorder="1"/>
    <xf numFmtId="44" fontId="3" fillId="0" borderId="2" xfId="3" applyFont="1" applyFill="1" applyBorder="1"/>
    <xf numFmtId="8" fontId="3" fillId="0" borderId="0" xfId="3" applyNumberFormat="1" applyFont="1" applyBorder="1"/>
    <xf numFmtId="49" fontId="3" fillId="0" borderId="0" xfId="0" applyNumberFormat="1" applyFont="1" applyAlignment="1">
      <alignment horizontal="right"/>
    </xf>
    <xf numFmtId="44" fontId="3" fillId="0" borderId="3" xfId="3" applyFont="1" applyFill="1" applyBorder="1"/>
    <xf numFmtId="44" fontId="3" fillId="0" borderId="3" xfId="3" applyFont="1" applyBorder="1"/>
    <xf numFmtId="0" fontId="3" fillId="0" borderId="0" xfId="0" applyFont="1" applyBorder="1"/>
    <xf numFmtId="0" fontId="3" fillId="0" borderId="0" xfId="0" applyNumberFormat="1" applyFont="1" applyBorder="1"/>
    <xf numFmtId="10" fontId="3" fillId="0" borderId="0" xfId="1" applyNumberFormat="1" applyFont="1" applyFill="1"/>
    <xf numFmtId="49" fontId="3" fillId="0" borderId="0" xfId="0" applyNumberFormat="1" applyFont="1" applyFill="1" applyAlignment="1">
      <alignment horizontal="right"/>
    </xf>
    <xf numFmtId="14" fontId="3" fillId="0" borderId="25" xfId="3" applyNumberFormat="1" applyFont="1" applyBorder="1" applyAlignment="1">
      <alignment horizontal="center" wrapText="1"/>
    </xf>
    <xf numFmtId="8" fontId="4" fillId="0" borderId="25" xfId="0" applyNumberFormat="1" applyFont="1" applyBorder="1" applyAlignment="1">
      <alignment horizontal="center"/>
    </xf>
    <xf numFmtId="0" fontId="4" fillId="0" borderId="0" xfId="0" applyNumberFormat="1" applyFont="1"/>
    <xf numFmtId="8" fontId="4" fillId="0" borderId="9" xfId="3" applyNumberFormat="1" applyFont="1" applyBorder="1"/>
    <xf numFmtId="8" fontId="4" fillId="0" borderId="0" xfId="3" applyNumberFormat="1" applyFont="1" applyBorder="1"/>
    <xf numFmtId="0" fontId="2" fillId="0" borderId="0" xfId="0" applyNumberFormat="1" applyFont="1"/>
    <xf numFmtId="44" fontId="24" fillId="0" borderId="21" xfId="3" applyFont="1" applyBorder="1" applyAlignment="1">
      <alignment horizontal="center" wrapText="1"/>
    </xf>
    <xf numFmtId="0" fontId="24" fillId="0" borderId="21" xfId="0" applyFont="1" applyBorder="1"/>
    <xf numFmtId="169" fontId="24" fillId="0" borderId="21" xfId="3" applyNumberFormat="1" applyFont="1" applyBorder="1" applyAlignment="1">
      <alignment horizontal="center" wrapText="1"/>
    </xf>
    <xf numFmtId="169" fontId="2" fillId="0" borderId="21" xfId="0" applyNumberFormat="1" applyFont="1" applyFill="1" applyBorder="1"/>
    <xf numFmtId="44" fontId="3" fillId="0" borderId="22" xfId="3" applyFont="1" applyBorder="1" applyAlignment="1">
      <alignment horizontal="right" wrapText="1"/>
    </xf>
    <xf numFmtId="0" fontId="3" fillId="0" borderId="0" xfId="0" applyNumberFormat="1" applyFont="1" applyAlignment="1">
      <alignment horizontal="right"/>
    </xf>
    <xf numFmtId="8" fontId="4" fillId="0" borderId="25" xfId="3" applyNumberFormat="1" applyFont="1" applyBorder="1"/>
    <xf numFmtId="44" fontId="4" fillId="0" borderId="10" xfId="3" applyNumberFormat="1" applyFont="1" applyBorder="1"/>
    <xf numFmtId="44" fontId="4" fillId="0" borderId="10" xfId="3" applyNumberFormat="1" applyFont="1" applyFill="1" applyBorder="1"/>
    <xf numFmtId="10" fontId="4" fillId="0" borderId="0" xfId="1" applyNumberFormat="1" applyFont="1"/>
    <xf numFmtId="44" fontId="2" fillId="0" borderId="0" xfId="3" applyFont="1" applyFill="1" applyBorder="1" applyAlignment="1">
      <alignment horizontal="center"/>
    </xf>
    <xf numFmtId="1" fontId="4" fillId="0" borderId="10" xfId="0" applyNumberFormat="1" applyFont="1" applyFill="1" applyBorder="1" applyAlignment="1">
      <alignment horizontal="center"/>
    </xf>
    <xf numFmtId="1" fontId="4" fillId="0" borderId="10" xfId="0" applyNumberFormat="1" applyFont="1" applyBorder="1" applyAlignment="1">
      <alignment horizontal="center"/>
    </xf>
    <xf numFmtId="44" fontId="4" fillId="0" borderId="91" xfId="0" applyNumberFormat="1" applyFont="1" applyBorder="1"/>
    <xf numFmtId="44" fontId="4" fillId="0" borderId="55" xfId="3" applyFont="1" applyBorder="1" applyAlignment="1">
      <alignment horizontal="right"/>
    </xf>
    <xf numFmtId="44" fontId="4" fillId="0" borderId="49" xfId="3" applyFont="1" applyBorder="1" applyAlignment="1">
      <alignment horizontal="right"/>
    </xf>
    <xf numFmtId="44" fontId="3" fillId="0" borderId="55" xfId="3" applyFont="1" applyBorder="1" applyAlignment="1">
      <alignment horizontal="right"/>
    </xf>
    <xf numFmtId="44" fontId="4" fillId="0" borderId="55" xfId="3" applyFont="1" applyFill="1" applyBorder="1" applyAlignment="1">
      <alignment horizontal="right"/>
    </xf>
    <xf numFmtId="44" fontId="3" fillId="0" borderId="92" xfId="3" applyFont="1" applyBorder="1" applyAlignment="1">
      <alignment horizontal="right" wrapText="1"/>
    </xf>
    <xf numFmtId="165" fontId="4" fillId="0" borderId="22" xfId="0" applyNumberFormat="1" applyFont="1" applyFill="1" applyBorder="1" applyAlignment="1">
      <alignment horizontal="right"/>
    </xf>
    <xf numFmtId="174" fontId="4" fillId="0" borderId="0" xfId="0" applyNumberFormat="1" applyFont="1"/>
    <xf numFmtId="0" fontId="2" fillId="0" borderId="2" xfId="0" applyFont="1" applyBorder="1"/>
    <xf numFmtId="49" fontId="28" fillId="0" borderId="22" xfId="0" applyNumberFormat="1" applyFont="1" applyBorder="1" applyAlignment="1">
      <alignment horizontal="center"/>
    </xf>
    <xf numFmtId="0" fontId="0" fillId="0" borderId="0" xfId="0" applyBorder="1" applyAlignment="1"/>
    <xf numFmtId="0" fontId="4" fillId="0" borderId="90" xfId="0" applyFont="1" applyBorder="1" applyAlignment="1">
      <alignment horizontal="right"/>
    </xf>
    <xf numFmtId="44" fontId="3" fillId="0" borderId="49" xfId="3" applyFont="1" applyFill="1" applyBorder="1" applyAlignment="1">
      <alignment horizontal="right"/>
    </xf>
    <xf numFmtId="0" fontId="4" fillId="0" borderId="26" xfId="0" applyFont="1" applyBorder="1" applyAlignment="1">
      <alignment horizontal="center"/>
    </xf>
    <xf numFmtId="44" fontId="4" fillId="0" borderId="93" xfId="0" applyNumberFormat="1" applyFont="1" applyBorder="1"/>
    <xf numFmtId="44" fontId="4" fillId="0" borderId="49" xfId="3" applyFont="1" applyBorder="1"/>
    <xf numFmtId="0" fontId="31" fillId="0" borderId="22" xfId="0" applyFont="1" applyFill="1" applyBorder="1" applyAlignment="1">
      <alignment horizontal="right"/>
    </xf>
    <xf numFmtId="0" fontId="24" fillId="0" borderId="0" xfId="0" applyFont="1" applyBorder="1" applyAlignment="1">
      <alignment horizontal="right"/>
    </xf>
    <xf numFmtId="44" fontId="23" fillId="0" borderId="0" xfId="3" applyFont="1" applyFill="1" applyBorder="1" applyAlignment="1" applyProtection="1">
      <alignment vertical="center"/>
    </xf>
    <xf numFmtId="164" fontId="3" fillId="0" borderId="22" xfId="0" applyNumberFormat="1" applyFont="1" applyBorder="1" applyAlignment="1">
      <alignment horizontal="right"/>
    </xf>
    <xf numFmtId="44" fontId="4" fillId="0" borderId="87" xfId="0" applyNumberFormat="1" applyFont="1" applyBorder="1"/>
    <xf numFmtId="0" fontId="4" fillId="0" borderId="22" xfId="0" applyFont="1" applyFill="1" applyBorder="1"/>
    <xf numFmtId="44" fontId="2" fillId="0" borderId="0" xfId="3" applyFont="1" applyBorder="1"/>
    <xf numFmtId="0" fontId="2" fillId="0" borderId="21" xfId="0" applyFont="1" applyFill="1" applyBorder="1"/>
    <xf numFmtId="0" fontId="2" fillId="0" borderId="0" xfId="0" applyFont="1" applyBorder="1" applyAlignment="1">
      <alignment horizontal="left"/>
    </xf>
    <xf numFmtId="0" fontId="2" fillId="0" borderId="21" xfId="0" applyFont="1" applyBorder="1" applyAlignment="1">
      <alignment horizontal="left"/>
    </xf>
    <xf numFmtId="0" fontId="2" fillId="0" borderId="21" xfId="0" applyFont="1" applyFill="1" applyBorder="1" applyAlignment="1">
      <alignment horizontal="left"/>
    </xf>
    <xf numFmtId="0" fontId="30" fillId="0" borderId="0" xfId="0" applyFont="1" applyBorder="1" applyAlignment="1">
      <alignment horizontal="center"/>
    </xf>
    <xf numFmtId="169" fontId="2" fillId="0" borderId="21" xfId="3" applyNumberFormat="1" applyFont="1" applyBorder="1" applyAlignment="1">
      <alignment horizontal="center" wrapText="1"/>
    </xf>
    <xf numFmtId="44" fontId="2" fillId="0" borderId="28" xfId="0" applyNumberFormat="1" applyFont="1" applyBorder="1"/>
    <xf numFmtId="169" fontId="2" fillId="0" borderId="21" xfId="0" applyNumberFormat="1" applyFont="1" applyBorder="1" applyAlignment="1">
      <alignment horizontal="center"/>
    </xf>
    <xf numFmtId="169" fontId="2" fillId="0" borderId="21" xfId="0" applyNumberFormat="1" applyFont="1" applyBorder="1"/>
    <xf numFmtId="169" fontId="2" fillId="0" borderId="21" xfId="3" applyNumberFormat="1" applyFont="1" applyBorder="1"/>
    <xf numFmtId="0" fontId="2" fillId="0" borderId="25" xfId="0" applyFont="1" applyBorder="1"/>
    <xf numFmtId="169" fontId="2" fillId="0" borderId="26" xfId="0" applyNumberFormat="1" applyFont="1" applyBorder="1"/>
    <xf numFmtId="169" fontId="2" fillId="0" borderId="0" xfId="0" applyNumberFormat="1" applyFont="1"/>
    <xf numFmtId="0" fontId="30" fillId="0" borderId="0" xfId="0" applyFont="1" applyBorder="1" applyAlignment="1"/>
    <xf numFmtId="44" fontId="2" fillId="0" borderId="0" xfId="0" applyNumberFormat="1" applyFont="1" applyBorder="1"/>
    <xf numFmtId="44" fontId="2" fillId="0" borderId="0" xfId="3" applyFont="1" applyBorder="1" applyAlignment="1">
      <alignment horizontal="left"/>
    </xf>
    <xf numFmtId="44" fontId="2" fillId="0" borderId="0" xfId="3" applyFont="1" applyBorder="1" applyAlignment="1">
      <alignment horizontal="center" wrapText="1"/>
    </xf>
    <xf numFmtId="169" fontId="2" fillId="0" borderId="0" xfId="0" applyNumberFormat="1" applyFont="1" applyBorder="1"/>
    <xf numFmtId="44" fontId="2" fillId="0" borderId="28" xfId="3" applyFont="1" applyBorder="1"/>
    <xf numFmtId="0" fontId="27" fillId="0" borderId="0" xfId="0" applyFont="1" applyBorder="1" applyAlignment="1">
      <alignment horizontal="center"/>
    </xf>
    <xf numFmtId="0" fontId="2" fillId="0" borderId="0" xfId="0" applyFont="1" applyFill="1" applyBorder="1"/>
    <xf numFmtId="44" fontId="2" fillId="0" borderId="25" xfId="3" applyFont="1" applyBorder="1"/>
    <xf numFmtId="44" fontId="2" fillId="0" borderId="21" xfId="3" applyFont="1" applyBorder="1" applyAlignment="1">
      <alignment horizontal="center" wrapText="1"/>
    </xf>
    <xf numFmtId="44" fontId="2" fillId="0" borderId="32" xfId="0" applyNumberFormat="1" applyFont="1" applyBorder="1"/>
    <xf numFmtId="13" fontId="2" fillId="0" borderId="0" xfId="3" applyNumberFormat="1" applyFont="1" applyBorder="1"/>
    <xf numFmtId="0" fontId="15" fillId="0" borderId="25" xfId="0" applyFont="1" applyBorder="1" applyAlignment="1">
      <alignment horizontal="center" wrapText="1"/>
    </xf>
    <xf numFmtId="14" fontId="4" fillId="0" borderId="0" xfId="0" applyNumberFormat="1" applyFont="1" applyBorder="1" applyAlignment="1">
      <alignment horizontal="left"/>
    </xf>
    <xf numFmtId="44" fontId="4" fillId="0" borderId="22" xfId="0" applyNumberFormat="1" applyFont="1" applyFill="1" applyBorder="1" applyAlignment="1">
      <alignment horizontal="right"/>
    </xf>
    <xf numFmtId="44" fontId="4" fillId="0" borderId="28" xfId="3" applyFont="1" applyFill="1" applyBorder="1"/>
    <xf numFmtId="44" fontId="2" fillId="0" borderId="28" xfId="0" applyNumberFormat="1" applyFont="1" applyFill="1" applyBorder="1"/>
    <xf numFmtId="43" fontId="4" fillId="0" borderId="0" xfId="0" applyNumberFormat="1" applyFont="1" applyFill="1" applyBorder="1"/>
    <xf numFmtId="44" fontId="4" fillId="0" borderId="0" xfId="0" applyNumberFormat="1" applyFont="1" applyFill="1" applyBorder="1" applyAlignment="1">
      <alignment horizontal="center"/>
    </xf>
    <xf numFmtId="44" fontId="2" fillId="0" borderId="0" xfId="0" applyNumberFormat="1" applyFont="1" applyFill="1" applyBorder="1" applyAlignment="1">
      <alignment horizontal="center"/>
    </xf>
    <xf numFmtId="0" fontId="4" fillId="0" borderId="24" xfId="0" applyFont="1" applyFill="1" applyBorder="1"/>
    <xf numFmtId="0" fontId="4" fillId="0" borderId="25" xfId="0" applyFont="1" applyFill="1" applyBorder="1"/>
    <xf numFmtId="44" fontId="4" fillId="0" borderId="25" xfId="0" applyNumberFormat="1" applyFont="1" applyFill="1" applyBorder="1"/>
    <xf numFmtId="44" fontId="2" fillId="0" borderId="25" xfId="0" applyNumberFormat="1" applyFont="1" applyFill="1" applyBorder="1"/>
    <xf numFmtId="169" fontId="2" fillId="0" borderId="26" xfId="0" applyNumberFormat="1" applyFont="1" applyFill="1" applyBorder="1"/>
    <xf numFmtId="44" fontId="4" fillId="0" borderId="0" xfId="0" applyNumberFormat="1" applyFont="1" applyFill="1" applyBorder="1" applyAlignment="1">
      <alignment horizontal="right"/>
    </xf>
    <xf numFmtId="44" fontId="2" fillId="0" borderId="0" xfId="0" applyNumberFormat="1" applyFont="1" applyFill="1" applyBorder="1"/>
    <xf numFmtId="169" fontId="2" fillId="0" borderId="0" xfId="0" applyNumberFormat="1" applyFont="1" applyFill="1" applyBorder="1"/>
    <xf numFmtId="0" fontId="0" fillId="0" borderId="0" xfId="0" applyFill="1" applyBorder="1" applyAlignment="1">
      <alignment horizontal="center"/>
    </xf>
    <xf numFmtId="0" fontId="30" fillId="0" borderId="0" xfId="0" applyFont="1" applyFill="1" applyBorder="1" applyAlignment="1">
      <alignment horizontal="center"/>
    </xf>
    <xf numFmtId="169" fontId="2" fillId="0" borderId="21" xfId="3" applyNumberFormat="1" applyFont="1" applyFill="1" applyBorder="1" applyAlignment="1">
      <alignment horizontal="center" wrapText="1"/>
    </xf>
    <xf numFmtId="44" fontId="2" fillId="0" borderId="28" xfId="3" applyFont="1" applyFill="1" applyBorder="1"/>
    <xf numFmtId="44" fontId="4" fillId="0" borderId="9" xfId="0" applyNumberFormat="1" applyFont="1" applyFill="1" applyBorder="1"/>
    <xf numFmtId="0" fontId="4" fillId="0" borderId="24" xfId="0" applyFont="1" applyFill="1" applyBorder="1" applyAlignment="1">
      <alignment horizontal="right"/>
    </xf>
    <xf numFmtId="0" fontId="2" fillId="0" borderId="25" xfId="0" applyFont="1" applyFill="1" applyBorder="1"/>
    <xf numFmtId="169" fontId="2" fillId="0" borderId="0" xfId="0" applyNumberFormat="1" applyFont="1" applyFill="1"/>
    <xf numFmtId="0" fontId="4" fillId="0" borderId="0" xfId="0" applyFont="1" applyFill="1" applyBorder="1" applyAlignment="1">
      <alignment horizontal="center"/>
    </xf>
    <xf numFmtId="0" fontId="15" fillId="0" borderId="22" xfId="0" applyFont="1" applyFill="1" applyBorder="1" applyAlignment="1">
      <alignment horizontal="center"/>
    </xf>
    <xf numFmtId="44" fontId="4" fillId="0" borderId="24" xfId="0" applyNumberFormat="1" applyFont="1" applyFill="1" applyBorder="1" applyAlignment="1">
      <alignment horizontal="right"/>
    </xf>
    <xf numFmtId="0" fontId="16" fillId="0" borderId="22" xfId="0" applyFont="1" applyFill="1" applyBorder="1" applyAlignment="1">
      <alignment horizontal="right"/>
    </xf>
    <xf numFmtId="0" fontId="4" fillId="0" borderId="0" xfId="0" applyFont="1" applyFill="1" applyAlignment="1">
      <alignment horizontal="right"/>
    </xf>
    <xf numFmtId="49" fontId="3" fillId="0" borderId="22" xfId="0" applyNumberFormat="1" applyFont="1" applyFill="1" applyBorder="1" applyAlignment="1">
      <alignment horizontal="right"/>
    </xf>
    <xf numFmtId="0" fontId="4" fillId="0" borderId="0" xfId="0" applyFont="1" applyBorder="1" applyAlignment="1">
      <alignment horizontal="left"/>
    </xf>
    <xf numFmtId="44" fontId="2" fillId="0" borderId="0" xfId="3" applyFont="1" applyFill="1" applyBorder="1" applyAlignment="1" applyProtection="1">
      <alignment horizontal="center" vertical="center"/>
    </xf>
    <xf numFmtId="168" fontId="2" fillId="0" borderId="22" xfId="0" applyNumberFormat="1" applyFont="1" applyFill="1" applyBorder="1" applyAlignment="1" applyProtection="1">
      <alignment horizontal="right" vertical="center"/>
    </xf>
    <xf numFmtId="0" fontId="2" fillId="0" borderId="22" xfId="0" applyFont="1" applyFill="1" applyBorder="1" applyAlignment="1">
      <alignment horizontal="right"/>
    </xf>
    <xf numFmtId="9" fontId="4" fillId="0" borderId="0" xfId="8" applyFont="1" applyBorder="1"/>
    <xf numFmtId="8" fontId="4" fillId="0" borderId="22" xfId="0" applyNumberFormat="1" applyFont="1" applyBorder="1" applyAlignment="1">
      <alignment horizontal="center"/>
    </xf>
    <xf numFmtId="9" fontId="4" fillId="0" borderId="0" xfId="8" applyFont="1" applyFill="1" applyBorder="1"/>
    <xf numFmtId="44" fontId="4" fillId="0" borderId="11" xfId="3" applyNumberFormat="1" applyFont="1" applyFill="1" applyBorder="1"/>
    <xf numFmtId="1" fontId="4" fillId="0" borderId="11" xfId="0" applyNumberFormat="1" applyFont="1" applyFill="1" applyBorder="1" applyAlignment="1">
      <alignment horizontal="center"/>
    </xf>
    <xf numFmtId="1" fontId="4" fillId="0" borderId="0" xfId="0" applyNumberFormat="1" applyFont="1" applyFill="1" applyBorder="1" applyAlignment="1">
      <alignment horizontal="center"/>
    </xf>
    <xf numFmtId="44" fontId="4" fillId="0" borderId="0" xfId="3" applyNumberFormat="1" applyFont="1" applyFill="1" applyBorder="1"/>
    <xf numFmtId="49" fontId="28" fillId="0" borderId="22" xfId="0" applyNumberFormat="1" applyFont="1" applyFill="1" applyBorder="1"/>
    <xf numFmtId="44" fontId="4" fillId="0" borderId="29" xfId="0" applyNumberFormat="1" applyFont="1" applyFill="1" applyBorder="1" applyAlignment="1">
      <alignment horizontal="right"/>
    </xf>
    <xf numFmtId="44" fontId="4" fillId="0" borderId="22" xfId="3" applyFont="1" applyFill="1" applyBorder="1" applyAlignment="1">
      <alignment horizontal="right" wrapText="1"/>
    </xf>
    <xf numFmtId="44" fontId="3" fillId="0" borderId="1" xfId="3" applyFont="1" applyFill="1" applyBorder="1"/>
    <xf numFmtId="0" fontId="15" fillId="0" borderId="10" xfId="0" applyFont="1" applyBorder="1" applyAlignment="1">
      <alignment horizontal="center"/>
    </xf>
    <xf numFmtId="0" fontId="12" fillId="0" borderId="0" xfId="5" applyFont="1" applyFill="1"/>
    <xf numFmtId="166" fontId="9" fillId="0" borderId="0"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xf>
    <xf numFmtId="37" fontId="21" fillId="0" borderId="0" xfId="0" applyNumberFormat="1" applyFont="1" applyFill="1" applyBorder="1" applyAlignment="1" applyProtection="1">
      <alignment horizontal="right" vertical="center"/>
    </xf>
    <xf numFmtId="39" fontId="21"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0" fontId="0" fillId="0" borderId="0" xfId="0" applyFill="1" applyBorder="1"/>
    <xf numFmtId="0" fontId="2" fillId="0" borderId="0" xfId="0" applyFont="1" applyFill="1" applyBorder="1" applyAlignment="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2" fontId="10" fillId="0" borderId="0" xfId="0" applyNumberFormat="1" applyFont="1" applyFill="1" applyBorder="1" applyAlignment="1" applyProtection="1">
      <alignment horizontal="center" vertical="center"/>
    </xf>
    <xf numFmtId="0" fontId="2" fillId="0" borderId="0" xfId="0" applyFont="1" applyFill="1" applyBorder="1" applyAlignment="1">
      <alignment vertical="center"/>
    </xf>
    <xf numFmtId="165" fontId="20" fillId="0" borderId="0" xfId="1" applyNumberFormat="1" applyFont="1" applyFill="1" applyBorder="1" applyAlignment="1">
      <alignment horizontal="center" vertical="center"/>
    </xf>
    <xf numFmtId="0" fontId="20" fillId="0" borderId="0" xfId="0" applyFont="1" applyFill="1" applyBorder="1" applyAlignment="1">
      <alignment vertical="center"/>
    </xf>
    <xf numFmtId="14" fontId="8" fillId="0"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vertical="center"/>
    </xf>
    <xf numFmtId="39" fontId="9" fillId="0" borderId="0" xfId="0" applyNumberFormat="1" applyFont="1" applyFill="1" applyBorder="1" applyAlignment="1" applyProtection="1">
      <alignment vertical="center"/>
    </xf>
    <xf numFmtId="37" fontId="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39" fontId="19" fillId="0" borderId="0" xfId="0" applyNumberFormat="1" applyFont="1" applyFill="1" applyBorder="1" applyAlignment="1" applyProtection="1">
      <alignment vertical="center"/>
    </xf>
    <xf numFmtId="43" fontId="19" fillId="0" borderId="0" xfId="4" applyFont="1" applyFill="1" applyBorder="1" applyAlignment="1">
      <alignment vertical="center"/>
    </xf>
    <xf numFmtId="37" fontId="20" fillId="0" borderId="0" xfId="0" applyNumberFormat="1" applyFont="1" applyFill="1" applyBorder="1" applyAlignment="1" applyProtection="1">
      <alignment vertical="center"/>
    </xf>
    <xf numFmtId="165" fontId="9" fillId="0" borderId="0" xfId="1" applyNumberFormat="1" applyFont="1" applyFill="1" applyBorder="1" applyAlignment="1" applyProtection="1">
      <alignment horizontal="center" vertical="center"/>
    </xf>
    <xf numFmtId="165" fontId="24" fillId="0" borderId="0" xfId="1" applyNumberFormat="1" applyFont="1" applyFill="1" applyBorder="1" applyAlignment="1" applyProtection="1">
      <alignment horizontal="center" vertical="center"/>
    </xf>
    <xf numFmtId="37" fontId="23" fillId="0" borderId="0" xfId="0" applyNumberFormat="1" applyFont="1" applyFill="1" applyBorder="1" applyAlignment="1" applyProtection="1">
      <alignment horizontal="right" vertical="center"/>
    </xf>
    <xf numFmtId="37" fontId="2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37" fontId="9" fillId="0" borderId="0" xfId="0" applyNumberFormat="1" applyFont="1" applyFill="1" applyBorder="1" applyAlignment="1" applyProtection="1">
      <alignment horizontal="left" vertical="center"/>
    </xf>
    <xf numFmtId="9" fontId="9" fillId="0" borderId="0" xfId="0" applyNumberFormat="1" applyFont="1" applyFill="1" applyBorder="1" applyAlignment="1" applyProtection="1">
      <alignment horizontal="center" vertical="center"/>
    </xf>
    <xf numFmtId="37" fontId="2" fillId="0" borderId="0" xfId="0" applyNumberFormat="1" applyFont="1" applyFill="1" applyBorder="1" applyAlignment="1">
      <alignment horizontal="left" vertical="center"/>
    </xf>
    <xf numFmtId="14" fontId="4" fillId="0" borderId="0" xfId="0" applyNumberFormat="1" applyFont="1" applyFill="1" applyBorder="1" applyAlignment="1">
      <alignment horizontal="left"/>
    </xf>
    <xf numFmtId="0" fontId="4" fillId="0" borderId="21" xfId="0" applyFont="1" applyBorder="1" applyAlignment="1">
      <alignment wrapText="1"/>
    </xf>
    <xf numFmtId="0" fontId="2" fillId="0" borderId="0" xfId="0" quotePrefix="1" applyFont="1" applyBorder="1" applyAlignment="1">
      <alignment horizontal="left"/>
    </xf>
    <xf numFmtId="44" fontId="4" fillId="0" borderId="0" xfId="0" applyNumberFormat="1" applyFont="1" applyBorder="1" applyAlignment="1">
      <alignment horizontal="left"/>
    </xf>
    <xf numFmtId="0" fontId="4" fillId="0" borderId="21" xfId="0" applyFont="1" applyFill="1" applyBorder="1" applyAlignment="1">
      <alignment horizontal="left"/>
    </xf>
    <xf numFmtId="49" fontId="3" fillId="0" borderId="10" xfId="0" applyNumberFormat="1" applyFont="1" applyFill="1" applyBorder="1"/>
    <xf numFmtId="0" fontId="4" fillId="0" borderId="0" xfId="0" applyFont="1" applyBorder="1" applyAlignment="1">
      <alignment horizontal="center" wrapText="1"/>
    </xf>
    <xf numFmtId="0" fontId="4" fillId="0" borderId="10" xfId="0" applyFont="1" applyBorder="1" applyAlignment="1">
      <alignment horizontal="right"/>
    </xf>
    <xf numFmtId="0" fontId="16" fillId="0" borderId="0" xfId="0" applyFont="1"/>
    <xf numFmtId="0" fontId="16" fillId="0" borderId="0" xfId="0" applyFont="1" applyFill="1" applyBorder="1"/>
    <xf numFmtId="9" fontId="9" fillId="0" borderId="0" xfId="0" applyNumberFormat="1" applyFont="1" applyAlignment="1" applyProtection="1">
      <alignment horizontal="right" vertical="center"/>
    </xf>
    <xf numFmtId="0" fontId="25" fillId="0" borderId="0" xfId="0" applyFont="1" applyAlignment="1" applyProtection="1">
      <alignment horizontal="right" vertical="center"/>
    </xf>
    <xf numFmtId="1" fontId="30" fillId="0" borderId="46" xfId="5" applyNumberFormat="1" applyFont="1" applyFill="1" applyBorder="1"/>
    <xf numFmtId="1" fontId="30" fillId="0" borderId="50" xfId="5" applyNumberFormat="1" applyFont="1" applyFill="1" applyBorder="1"/>
    <xf numFmtId="1" fontId="30" fillId="0" borderId="53" xfId="5" applyNumberFormat="1" applyFont="1" applyFill="1" applyBorder="1"/>
    <xf numFmtId="1" fontId="30" fillId="0" borderId="56" xfId="5" applyNumberFormat="1" applyFont="1" applyFill="1" applyBorder="1"/>
    <xf numFmtId="3" fontId="30" fillId="0" borderId="58" xfId="5" applyNumberFormat="1" applyFont="1" applyFill="1" applyBorder="1"/>
    <xf numFmtId="3" fontId="30" fillId="0" borderId="62" xfId="5" applyNumberFormat="1" applyFont="1" applyFill="1" applyBorder="1"/>
    <xf numFmtId="4" fontId="30" fillId="0" borderId="65" xfId="5" applyNumberFormat="1" applyFont="1" applyFill="1" applyBorder="1"/>
    <xf numFmtId="0" fontId="30" fillId="0" borderId="68" xfId="5" applyFont="1" applyFill="1" applyBorder="1"/>
    <xf numFmtId="0" fontId="30" fillId="0" borderId="55" xfId="5" applyFont="1" applyFill="1" applyBorder="1"/>
    <xf numFmtId="4" fontId="30" fillId="0" borderId="52" xfId="5" applyNumberFormat="1" applyFont="1" applyFill="1" applyBorder="1" applyAlignment="1">
      <alignment horizontal="right"/>
    </xf>
    <xf numFmtId="4" fontId="30" fillId="0" borderId="81" xfId="5" applyNumberFormat="1" applyFont="1" applyFill="1" applyBorder="1" applyAlignment="1">
      <alignment horizontal="right"/>
    </xf>
    <xf numFmtId="4" fontId="30" fillId="0" borderId="72" xfId="5" applyNumberFormat="1" applyFont="1" applyFill="1" applyBorder="1" applyAlignment="1">
      <alignment horizontal="right"/>
    </xf>
    <xf numFmtId="4" fontId="30" fillId="0" borderId="58" xfId="5" applyNumberFormat="1" applyFont="1" applyFill="1" applyBorder="1" applyAlignment="1">
      <alignment horizontal="right" vertical="top"/>
    </xf>
    <xf numFmtId="0" fontId="30" fillId="0" borderId="0" xfId="5" applyFont="1" applyFill="1" applyBorder="1"/>
    <xf numFmtId="0" fontId="8" fillId="0" borderId="0" xfId="5" applyFont="1" applyFill="1" applyBorder="1" applyAlignment="1">
      <alignment horizontal="center"/>
    </xf>
    <xf numFmtId="0" fontId="41" fillId="0" borderId="0" xfId="5" applyFont="1" applyAlignment="1">
      <alignment horizontal="right"/>
    </xf>
    <xf numFmtId="0" fontId="4" fillId="0" borderId="0" xfId="0" applyFont="1" applyAlignment="1" applyProtection="1">
      <alignment vertical="top"/>
    </xf>
    <xf numFmtId="0" fontId="4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4" fillId="0" borderId="0" xfId="10" applyFont="1" applyAlignment="1">
      <alignment horizontal="center" vertical="center" wrapText="1"/>
    </xf>
    <xf numFmtId="17" fontId="4" fillId="0" borderId="0" xfId="0" applyNumberFormat="1" applyFont="1" applyAlignment="1">
      <alignment horizontal="left" vertical="center" wrapText="1"/>
    </xf>
    <xf numFmtId="175" fontId="4" fillId="0" borderId="0" xfId="0" applyNumberFormat="1" applyFont="1"/>
    <xf numFmtId="10" fontId="4" fillId="0" borderId="0" xfId="8" applyNumberFormat="1" applyFont="1" applyBorder="1"/>
    <xf numFmtId="10" fontId="4" fillId="0" borderId="0" xfId="8" applyNumberFormat="1" applyFont="1" applyFill="1" applyBorder="1"/>
    <xf numFmtId="176" fontId="4" fillId="0" borderId="0" xfId="0" applyNumberFormat="1" applyFont="1" applyFill="1"/>
    <xf numFmtId="0" fontId="4" fillId="0" borderId="22" xfId="0" applyFont="1" applyBorder="1" applyAlignment="1">
      <alignment horizontal="center"/>
    </xf>
    <xf numFmtId="44" fontId="4" fillId="5" borderId="0" xfId="3" applyFont="1" applyFill="1"/>
    <xf numFmtId="44" fontId="4" fillId="5" borderId="0" xfId="3" applyNumberFormat="1" applyFont="1" applyFill="1"/>
    <xf numFmtId="49" fontId="45" fillId="0" borderId="0" xfId="0" applyNumberFormat="1" applyFont="1"/>
    <xf numFmtId="164" fontId="38" fillId="0" borderId="0" xfId="0" applyNumberFormat="1" applyFont="1"/>
    <xf numFmtId="164" fontId="38" fillId="0" borderId="0" xfId="0" applyNumberFormat="1" applyFont="1" applyBorder="1"/>
    <xf numFmtId="49" fontId="3" fillId="0" borderId="0" xfId="0" applyNumberFormat="1" applyFont="1" applyBorder="1"/>
    <xf numFmtId="164" fontId="4" fillId="0" borderId="0" xfId="0" applyNumberFormat="1" applyFont="1" applyBorder="1"/>
    <xf numFmtId="49" fontId="3" fillId="0" borderId="0" xfId="0" applyNumberFormat="1" applyFont="1" applyBorder="1" applyAlignment="1">
      <alignment horizontal="center"/>
    </xf>
    <xf numFmtId="0" fontId="4" fillId="0" borderId="0" xfId="0" applyFont="1" applyAlignment="1"/>
    <xf numFmtId="44" fontId="3" fillId="0" borderId="0" xfId="3" applyNumberFormat="1" applyFont="1" applyBorder="1"/>
    <xf numFmtId="44" fontId="2" fillId="0" borderId="0" xfId="0" applyNumberFormat="1" applyFont="1" applyFill="1" applyBorder="1" applyAlignment="1">
      <alignment horizontal="left"/>
    </xf>
    <xf numFmtId="44" fontId="4" fillId="0" borderId="21" xfId="3" applyFont="1" applyFill="1" applyBorder="1"/>
    <xf numFmtId="177" fontId="3" fillId="0" borderId="0" xfId="3" applyNumberFormat="1" applyFont="1" applyBorder="1"/>
    <xf numFmtId="177" fontId="4" fillId="0" borderId="0" xfId="3" applyNumberFormat="1" applyFont="1"/>
    <xf numFmtId="0" fontId="4" fillId="0" borderId="87" xfId="0" applyFont="1" applyBorder="1" applyAlignment="1">
      <alignment horizontal="center"/>
    </xf>
    <xf numFmtId="0" fontId="4" fillId="0" borderId="52" xfId="0" applyFont="1" applyBorder="1"/>
    <xf numFmtId="177" fontId="3" fillId="0" borderId="94" xfId="3" applyNumberFormat="1" applyFont="1" applyBorder="1"/>
    <xf numFmtId="177" fontId="3" fillId="0" borderId="55" xfId="3" applyNumberFormat="1" applyFont="1" applyBorder="1"/>
    <xf numFmtId="177" fontId="3" fillId="0" borderId="27" xfId="3" applyNumberFormat="1" applyFont="1" applyBorder="1"/>
    <xf numFmtId="177" fontId="3" fillId="0" borderId="9" xfId="3" applyNumberFormat="1" applyFont="1" applyBorder="1"/>
    <xf numFmtId="0" fontId="4" fillId="0" borderId="89" xfId="0" applyFont="1" applyBorder="1" applyAlignment="1">
      <alignment horizontal="center"/>
    </xf>
    <xf numFmtId="49" fontId="3" fillId="0" borderId="27" xfId="0" applyNumberFormat="1" applyFont="1" applyBorder="1" applyAlignment="1">
      <alignment horizontal="center"/>
    </xf>
    <xf numFmtId="49" fontId="3" fillId="0" borderId="9" xfId="0" applyNumberFormat="1" applyFont="1" applyBorder="1" applyAlignment="1">
      <alignment horizontal="center"/>
    </xf>
    <xf numFmtId="49" fontId="3" fillId="0" borderId="49" xfId="0" applyNumberFormat="1" applyFont="1" applyBorder="1" applyAlignment="1">
      <alignment horizontal="center"/>
    </xf>
    <xf numFmtId="44" fontId="15" fillId="0" borderId="0" xfId="3" applyFont="1"/>
    <xf numFmtId="0" fontId="15" fillId="0" borderId="0" xfId="0" applyNumberFormat="1" applyFont="1"/>
    <xf numFmtId="0" fontId="4" fillId="0" borderId="29" xfId="0" applyFont="1" applyBorder="1"/>
    <xf numFmtId="0" fontId="2" fillId="0" borderId="19" xfId="0" applyFont="1" applyBorder="1"/>
    <xf numFmtId="0" fontId="15" fillId="0" borderId="2" xfId="0" applyFont="1" applyBorder="1"/>
    <xf numFmtId="44" fontId="4" fillId="0" borderId="24" xfId="0" applyNumberFormat="1" applyFont="1" applyBorder="1" applyAlignment="1">
      <alignment horizontal="right" wrapText="1"/>
    </xf>
    <xf numFmtId="14" fontId="4" fillId="0" borderId="25" xfId="0" applyNumberFormat="1" applyFont="1" applyBorder="1" applyAlignment="1">
      <alignment horizontal="left"/>
    </xf>
    <xf numFmtId="0" fontId="4" fillId="0" borderId="22" xfId="0" applyFont="1" applyBorder="1" applyAlignment="1">
      <alignment horizontal="center"/>
    </xf>
    <xf numFmtId="44" fontId="4" fillId="0" borderId="55" xfId="0" applyNumberFormat="1" applyFont="1" applyBorder="1"/>
    <xf numFmtId="44" fontId="4" fillId="0" borderId="0" xfId="3" applyFont="1" applyBorder="1" applyAlignment="1"/>
    <xf numFmtId="8" fontId="4" fillId="0" borderId="0" xfId="3" applyNumberFormat="1" applyFont="1" applyFill="1"/>
    <xf numFmtId="44" fontId="4" fillId="0" borderId="0" xfId="0" applyNumberFormat="1" applyFont="1" applyFill="1"/>
    <xf numFmtId="0" fontId="2" fillId="0" borderId="0" xfId="0" applyFont="1" applyFill="1" applyAlignment="1">
      <alignment horizontal="left"/>
    </xf>
    <xf numFmtId="14" fontId="2" fillId="2" borderId="25" xfId="3" applyNumberFormat="1" applyFont="1" applyFill="1" applyBorder="1" applyAlignment="1">
      <alignment horizontal="center" wrapText="1"/>
    </xf>
    <xf numFmtId="0" fontId="0" fillId="0" borderId="0" xfId="0" applyBorder="1" applyAlignment="1">
      <alignment horizontal="center"/>
    </xf>
    <xf numFmtId="10" fontId="4" fillId="0" borderId="0" xfId="0" applyNumberFormat="1" applyFont="1" applyFill="1"/>
    <xf numFmtId="44" fontId="4" fillId="0" borderId="0" xfId="3" applyNumberFormat="1" applyFont="1" applyFill="1"/>
    <xf numFmtId="10" fontId="4" fillId="2" borderId="0" xfId="0" applyNumberFormat="1" applyFont="1" applyFill="1" applyAlignment="1">
      <alignment horizontal="center"/>
    </xf>
    <xf numFmtId="176" fontId="4" fillId="0" borderId="0" xfId="0" applyNumberFormat="1" applyFont="1" applyFill="1" applyAlignment="1">
      <alignment horizontal="right"/>
    </xf>
    <xf numFmtId="44" fontId="4" fillId="2" borderId="10" xfId="3" applyFont="1" applyFill="1" applyBorder="1"/>
    <xf numFmtId="164" fontId="3" fillId="0" borderId="0"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xf numFmtId="170" fontId="2" fillId="2" borderId="0" xfId="3" applyNumberFormat="1" applyFont="1" applyFill="1" applyBorder="1"/>
    <xf numFmtId="169" fontId="2" fillId="0" borderId="21" xfId="0" quotePrefix="1" applyNumberFormat="1" applyFont="1" applyBorder="1"/>
    <xf numFmtId="44" fontId="4" fillId="0" borderId="15" xfId="3" applyFont="1" applyFill="1" applyBorder="1"/>
    <xf numFmtId="0" fontId="39" fillId="0" borderId="0" xfId="0" applyFont="1"/>
    <xf numFmtId="0" fontId="39" fillId="0" borderId="0" xfId="0" applyFont="1" applyFill="1" applyAlignment="1">
      <alignment vertical="center"/>
    </xf>
    <xf numFmtId="0" fontId="19" fillId="0" borderId="0" xfId="0" applyFont="1" applyFill="1"/>
    <xf numFmtId="0" fontId="39" fillId="0" borderId="0" xfId="0" applyFont="1" applyFill="1"/>
    <xf numFmtId="169" fontId="2" fillId="0" borderId="0" xfId="0" applyNumberFormat="1" applyFont="1" applyBorder="1" applyAlignment="1">
      <alignment horizontal="right"/>
    </xf>
    <xf numFmtId="0" fontId="39" fillId="0" borderId="0" xfId="0" applyFont="1" applyAlignment="1">
      <alignment horizontal="center"/>
    </xf>
    <xf numFmtId="0" fontId="4" fillId="0" borderId="0" xfId="0" applyFont="1" applyBorder="1" applyAlignment="1">
      <alignment wrapText="1"/>
    </xf>
    <xf numFmtId="0" fontId="2" fillId="0" borderId="0" xfId="0" applyFont="1" applyAlignment="1">
      <alignment horizontal="left"/>
    </xf>
    <xf numFmtId="8" fontId="4" fillId="0" borderId="0" xfId="0" applyNumberFormat="1" applyFont="1" applyBorder="1" applyAlignment="1">
      <alignment horizontal="center" wrapText="1"/>
    </xf>
    <xf numFmtId="44" fontId="4" fillId="0" borderId="0" xfId="3" applyNumberFormat="1" applyFont="1" applyBorder="1"/>
    <xf numFmtId="44" fontId="3" fillId="0" borderId="28" xfId="3" applyFont="1" applyBorder="1"/>
    <xf numFmtId="10" fontId="4" fillId="0" borderId="0" xfId="1" applyNumberFormat="1" applyFont="1" applyBorder="1"/>
    <xf numFmtId="14" fontId="2" fillId="0" borderId="25" xfId="3" applyNumberFormat="1" applyFont="1" applyFill="1" applyBorder="1" applyAlignment="1">
      <alignment horizontal="center" wrapText="1"/>
    </xf>
    <xf numFmtId="177" fontId="4" fillId="0" borderId="0" xfId="0" applyNumberFormat="1" applyFont="1" applyBorder="1"/>
    <xf numFmtId="44" fontId="15" fillId="0" borderId="0" xfId="0" applyNumberFormat="1" applyFont="1" applyBorder="1"/>
    <xf numFmtId="44" fontId="5" fillId="0" borderId="9" xfId="3" applyFont="1" applyFill="1" applyBorder="1"/>
    <xf numFmtId="44" fontId="3" fillId="0" borderId="0" xfId="3" applyFont="1" applyBorder="1" applyAlignment="1">
      <alignment horizontal="right" wrapText="1"/>
    </xf>
    <xf numFmtId="44" fontId="4" fillId="0" borderId="0" xfId="3" applyFont="1" applyFill="1" applyBorder="1" applyAlignment="1">
      <alignment horizontal="center"/>
    </xf>
    <xf numFmtId="44" fontId="4" fillId="0" borderId="0" xfId="3" applyFont="1" applyFill="1" applyAlignment="1"/>
    <xf numFmtId="44" fontId="4" fillId="0" borderId="0" xfId="3" applyFont="1" applyFill="1" applyAlignment="1">
      <alignment horizontal="left"/>
    </xf>
    <xf numFmtId="44" fontId="4" fillId="0" borderId="0" xfId="3" applyFont="1" applyFill="1" applyAlignment="1">
      <alignment horizontal="center"/>
    </xf>
    <xf numFmtId="177" fontId="3" fillId="0" borderId="49" xfId="3" applyNumberFormat="1" applyFont="1" applyBorder="1"/>
    <xf numFmtId="177" fontId="4" fillId="0" borderId="9" xfId="3" applyNumberFormat="1" applyFont="1" applyBorder="1"/>
    <xf numFmtId="0" fontId="4" fillId="2" borderId="0" xfId="0" applyFont="1" applyFill="1" applyBorder="1"/>
    <xf numFmtId="44" fontId="4" fillId="2" borderId="0" xfId="0" applyNumberFormat="1" applyFont="1" applyFill="1" applyBorder="1"/>
    <xf numFmtId="49" fontId="24" fillId="2" borderId="0" xfId="0" applyNumberFormat="1" applyFont="1" applyFill="1" applyAlignment="1">
      <alignment horizontal="center" vertical="center"/>
    </xf>
    <xf numFmtId="49" fontId="3" fillId="0" borderId="0" xfId="0" applyNumberFormat="1" applyFont="1" applyAlignment="1">
      <alignment horizontal="left"/>
    </xf>
    <xf numFmtId="0" fontId="4" fillId="2" borderId="0" xfId="0" applyFont="1" applyFill="1"/>
    <xf numFmtId="44" fontId="4" fillId="2" borderId="10" xfId="3" applyNumberFormat="1" applyFont="1" applyFill="1" applyBorder="1"/>
    <xf numFmtId="2" fontId="4" fillId="0" borderId="0" xfId="0" applyNumberFormat="1" applyFont="1" applyBorder="1" applyAlignment="1">
      <alignment horizontal="center"/>
    </xf>
    <xf numFmtId="176" fontId="4" fillId="0" borderId="0" xfId="8" applyNumberFormat="1" applyFont="1"/>
    <xf numFmtId="44" fontId="4" fillId="8" borderId="0" xfId="3" applyFont="1" applyFill="1"/>
    <xf numFmtId="14" fontId="4" fillId="0" borderId="10" xfId="0" applyNumberFormat="1" applyFont="1" applyFill="1" applyBorder="1" applyAlignment="1">
      <alignment horizontal="center" wrapText="1"/>
    </xf>
    <xf numFmtId="44" fontId="4" fillId="0" borderId="10" xfId="3" applyFont="1" applyFill="1" applyBorder="1" applyAlignment="1">
      <alignment horizontal="right"/>
    </xf>
    <xf numFmtId="0" fontId="4" fillId="0" borderId="10" xfId="0" applyFont="1" applyBorder="1" applyAlignment="1">
      <alignment horizontal="center" wrapText="1"/>
    </xf>
    <xf numFmtId="44" fontId="4" fillId="0" borderId="10" xfId="3" applyFont="1" applyBorder="1" applyAlignment="1"/>
    <xf numFmtId="0" fontId="16" fillId="0" borderId="22" xfId="0" applyFont="1" applyBorder="1" applyAlignment="1">
      <alignment horizontal="right"/>
    </xf>
    <xf numFmtId="9" fontId="4" fillId="0" borderId="0" xfId="1" applyFont="1" applyFill="1"/>
    <xf numFmtId="49" fontId="4" fillId="0" borderId="0" xfId="3" applyNumberFormat="1" applyFont="1" applyFill="1"/>
    <xf numFmtId="9" fontId="4" fillId="0" borderId="0" xfId="1" applyFont="1"/>
    <xf numFmtId="9" fontId="4" fillId="0" borderId="0" xfId="1" applyFont="1" applyFill="1" applyBorder="1"/>
    <xf numFmtId="0" fontId="4" fillId="0" borderId="21" xfId="0" applyFont="1" applyFill="1" applyBorder="1"/>
    <xf numFmtId="49" fontId="3" fillId="0" borderId="22" xfId="0" applyNumberFormat="1" applyFont="1" applyBorder="1" applyAlignment="1">
      <alignment horizontal="right"/>
    </xf>
    <xf numFmtId="17" fontId="4" fillId="0" borderId="0" xfId="0" applyNumberFormat="1" applyFont="1"/>
    <xf numFmtId="44" fontId="4" fillId="7" borderId="0" xfId="3" applyNumberFormat="1" applyFont="1" applyFill="1"/>
    <xf numFmtId="44" fontId="4" fillId="7" borderId="0" xfId="3" applyFont="1" applyFill="1"/>
    <xf numFmtId="9" fontId="4" fillId="0" borderId="0" xfId="0" applyNumberFormat="1" applyFont="1" applyFill="1"/>
    <xf numFmtId="0" fontId="4" fillId="0" borderId="0" xfId="0" applyFont="1" applyFill="1" applyBorder="1" applyAlignment="1">
      <alignment horizontal="left"/>
    </xf>
    <xf numFmtId="14" fontId="19" fillId="0" borderId="0" xfId="3" applyNumberFormat="1" applyFont="1" applyAlignment="1">
      <alignment horizontal="center"/>
    </xf>
    <xf numFmtId="9" fontId="4" fillId="2" borderId="0" xfId="1" applyFont="1" applyFill="1"/>
    <xf numFmtId="0" fontId="47" fillId="0" borderId="0" xfId="0" applyFont="1" applyAlignment="1">
      <alignment vertical="center"/>
    </xf>
    <xf numFmtId="0" fontId="48" fillId="0" borderId="0" xfId="0" applyFont="1" applyAlignment="1">
      <alignment vertical="center"/>
    </xf>
    <xf numFmtId="44" fontId="15" fillId="0" borderId="28" xfId="0" applyNumberFormat="1" applyFont="1" applyBorder="1"/>
    <xf numFmtId="0" fontId="16" fillId="0" borderId="2" xfId="0" applyFont="1" applyBorder="1"/>
    <xf numFmtId="0" fontId="16" fillId="0" borderId="19" xfId="0" applyFont="1" applyBorder="1"/>
    <xf numFmtId="0" fontId="41" fillId="6" borderId="10" xfId="0" applyFont="1" applyFill="1" applyBorder="1" applyAlignment="1" applyProtection="1">
      <alignment horizontal="center" vertical="center" wrapText="1"/>
    </xf>
    <xf numFmtId="0" fontId="41" fillId="6" borderId="95" xfId="0" applyFont="1" applyFill="1" applyBorder="1" applyAlignment="1" applyProtection="1">
      <alignment horizontal="center" vertical="center" wrapText="1"/>
    </xf>
    <xf numFmtId="0" fontId="16" fillId="0" borderId="14" xfId="0" applyFont="1" applyBorder="1" applyAlignment="1">
      <alignment horizontal="right"/>
    </xf>
    <xf numFmtId="0" fontId="16" fillId="0" borderId="14" xfId="0" applyFont="1" applyBorder="1"/>
    <xf numFmtId="14" fontId="41" fillId="6" borderId="14" xfId="0" applyNumberFormat="1" applyFont="1" applyFill="1" applyBorder="1" applyAlignment="1">
      <alignment horizontal="right"/>
    </xf>
    <xf numFmtId="44" fontId="41" fillId="0" borderId="14" xfId="9" applyFont="1" applyBorder="1"/>
    <xf numFmtId="44" fontId="41" fillId="0" borderId="96" xfId="9" applyFont="1" applyBorder="1"/>
    <xf numFmtId="14" fontId="41" fillId="6" borderId="10" xfId="0" applyNumberFormat="1" applyFont="1" applyFill="1" applyBorder="1" applyAlignment="1">
      <alignment horizontal="right"/>
    </xf>
    <xf numFmtId="44" fontId="41" fillId="0" borderId="10" xfId="9" applyFont="1" applyBorder="1"/>
    <xf numFmtId="44" fontId="41" fillId="0" borderId="10" xfId="9" applyFont="1" applyFill="1" applyBorder="1"/>
    <xf numFmtId="44" fontId="41" fillId="0" borderId="95" xfId="9" applyFont="1" applyBorder="1"/>
    <xf numFmtId="14" fontId="41" fillId="6" borderId="20" xfId="0" applyNumberFormat="1" applyFont="1" applyFill="1" applyBorder="1" applyAlignment="1">
      <alignment horizontal="right"/>
    </xf>
    <xf numFmtId="14" fontId="41" fillId="6" borderId="97" xfId="0" applyNumberFormat="1" applyFont="1" applyFill="1" applyBorder="1" applyAlignment="1">
      <alignment horizontal="right"/>
    </xf>
    <xf numFmtId="10" fontId="16" fillId="8" borderId="0" xfId="0" applyNumberFormat="1" applyFont="1" applyFill="1"/>
    <xf numFmtId="0" fontId="16" fillId="0" borderId="0" xfId="0" applyFont="1" applyAlignment="1">
      <alignment horizontal="center"/>
    </xf>
    <xf numFmtId="14" fontId="41" fillId="0" borderId="14" xfId="0" applyNumberFormat="1" applyFont="1" applyFill="1" applyBorder="1" applyAlignment="1">
      <alignment horizontal="right"/>
    </xf>
    <xf numFmtId="44" fontId="16" fillId="2" borderId="0" xfId="0" applyNumberFormat="1" applyFont="1" applyFill="1"/>
    <xf numFmtId="44" fontId="16" fillId="0" borderId="0" xfId="0" applyNumberFormat="1" applyFont="1" applyFill="1"/>
    <xf numFmtId="44" fontId="16" fillId="8" borderId="0" xfId="0" applyNumberFormat="1" applyFont="1" applyFill="1"/>
    <xf numFmtId="0" fontId="16" fillId="0" borderId="0" xfId="0" applyFont="1" applyFill="1"/>
    <xf numFmtId="44" fontId="16" fillId="0" borderId="0" xfId="0" applyNumberFormat="1" applyFont="1"/>
    <xf numFmtId="0" fontId="16" fillId="0" borderId="0" xfId="0" applyFont="1" applyAlignment="1">
      <alignment horizontal="right"/>
    </xf>
    <xf numFmtId="44" fontId="16" fillId="0" borderId="0" xfId="3" applyFont="1"/>
    <xf numFmtId="49" fontId="38" fillId="0" borderId="0" xfId="0" applyNumberFormat="1" applyFont="1" applyFill="1" applyAlignment="1">
      <alignment horizontal="right"/>
    </xf>
    <xf numFmtId="44" fontId="16" fillId="0" borderId="28" xfId="0" applyNumberFormat="1" applyFont="1" applyBorder="1"/>
    <xf numFmtId="0" fontId="50" fillId="0" borderId="0" xfId="0" applyFont="1" applyAlignment="1">
      <alignment horizontal="center" vertical="center"/>
    </xf>
    <xf numFmtId="44" fontId="16" fillId="0" borderId="15" xfId="0" applyNumberFormat="1" applyFont="1" applyBorder="1" applyAlignment="1">
      <alignment horizontal="center"/>
    </xf>
    <xf numFmtId="44" fontId="38" fillId="0" borderId="15" xfId="3" applyFont="1" applyFill="1" applyBorder="1" applyAlignment="1">
      <alignment horizontal="center" wrapText="1"/>
    </xf>
    <xf numFmtId="44" fontId="16" fillId="0" borderId="15" xfId="0" applyNumberFormat="1" applyFont="1" applyBorder="1" applyAlignment="1">
      <alignment horizontal="center" wrapText="1"/>
    </xf>
    <xf numFmtId="0" fontId="16" fillId="0" borderId="15" xfId="0" applyFont="1" applyBorder="1" applyAlignment="1">
      <alignment horizontal="center" wrapText="1"/>
    </xf>
    <xf numFmtId="44" fontId="16" fillId="0" borderId="28" xfId="3" applyFont="1" applyBorder="1"/>
    <xf numFmtId="44" fontId="41" fillId="0" borderId="14" xfId="9" applyFont="1" applyFill="1" applyBorder="1"/>
    <xf numFmtId="14" fontId="41" fillId="6" borderId="98" xfId="0" applyNumberFormat="1" applyFont="1" applyFill="1" applyBorder="1" applyAlignment="1">
      <alignment horizontal="right"/>
    </xf>
    <xf numFmtId="44" fontId="16" fillId="0" borderId="0" xfId="0" applyNumberFormat="1" applyFont="1" applyBorder="1"/>
    <xf numFmtId="44" fontId="16" fillId="0" borderId="0" xfId="0" applyNumberFormat="1" applyFont="1" applyFill="1" applyBorder="1"/>
    <xf numFmtId="14" fontId="41" fillId="6" borderId="99" xfId="0" applyNumberFormat="1" applyFont="1" applyFill="1" applyBorder="1" applyAlignment="1">
      <alignment horizontal="right"/>
    </xf>
    <xf numFmtId="44" fontId="41" fillId="0" borderId="100" xfId="9" applyFont="1" applyBorder="1"/>
    <xf numFmtId="44" fontId="41" fillId="0" borderId="101" xfId="9" applyFont="1" applyBorder="1"/>
    <xf numFmtId="14" fontId="41" fillId="8" borderId="99" xfId="0" applyNumberFormat="1" applyFont="1" applyFill="1" applyBorder="1" applyAlignment="1">
      <alignment horizontal="right"/>
    </xf>
    <xf numFmtId="44" fontId="41" fillId="8" borderId="100" xfId="9" applyFont="1" applyFill="1" applyBorder="1"/>
    <xf numFmtId="0" fontId="16" fillId="8" borderId="0" xfId="0" applyFont="1" applyFill="1" applyBorder="1"/>
    <xf numFmtId="44" fontId="41" fillId="8" borderId="101" xfId="9" applyFont="1" applyFill="1" applyBorder="1"/>
    <xf numFmtId="44" fontId="41" fillId="9" borderId="10" xfId="9" applyFont="1" applyFill="1" applyBorder="1"/>
    <xf numFmtId="44" fontId="16" fillId="9" borderId="28" xfId="0" applyNumberFormat="1" applyFont="1" applyFill="1" applyBorder="1"/>
    <xf numFmtId="0" fontId="0" fillId="0" borderId="0" xfId="0" applyFont="1" applyFill="1" applyAlignment="1">
      <alignment vertical="center"/>
    </xf>
    <xf numFmtId="37" fontId="8" fillId="0" borderId="0" xfId="0" applyNumberFormat="1"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vertical="center"/>
    </xf>
    <xf numFmtId="39" fontId="9" fillId="0" borderId="4" xfId="0" applyNumberFormat="1" applyFont="1" applyFill="1" applyBorder="1" applyAlignment="1" applyProtection="1">
      <alignment vertical="center"/>
    </xf>
    <xf numFmtId="37" fontId="9" fillId="0" borderId="0" xfId="0" applyNumberFormat="1" applyFont="1" applyFill="1" applyAlignment="1" applyProtection="1">
      <alignment vertical="center"/>
    </xf>
    <xf numFmtId="166" fontId="9" fillId="0" borderId="4" xfId="0" applyNumberFormat="1" applyFont="1" applyFill="1" applyBorder="1" applyAlignment="1" applyProtection="1">
      <alignment vertical="center"/>
    </xf>
    <xf numFmtId="39" fontId="10" fillId="0" borderId="0" xfId="0" applyNumberFormat="1" applyFont="1" applyFill="1" applyAlignment="1" applyProtection="1">
      <alignment vertical="center"/>
    </xf>
    <xf numFmtId="39" fontId="10" fillId="0" borderId="5" xfId="0" applyNumberFormat="1" applyFont="1" applyFill="1" applyBorder="1" applyAlignment="1" applyProtection="1">
      <alignment vertical="center"/>
    </xf>
    <xf numFmtId="39" fontId="9" fillId="0" borderId="0" xfId="0" applyNumberFormat="1" applyFont="1" applyFill="1" applyAlignment="1" applyProtection="1">
      <alignment vertical="center"/>
    </xf>
    <xf numFmtId="39" fontId="19" fillId="0" borderId="0" xfId="0" applyNumberFormat="1" applyFont="1" applyFill="1" applyAlignment="1" applyProtection="1">
      <alignment vertical="center"/>
    </xf>
    <xf numFmtId="43" fontId="19" fillId="0" borderId="0" xfId="4" applyFont="1" applyFill="1" applyAlignment="1">
      <alignment vertical="center"/>
    </xf>
    <xf numFmtId="37" fontId="20" fillId="0" borderId="0" xfId="0" applyNumberFormat="1" applyFont="1" applyFill="1" applyAlignment="1" applyProtection="1">
      <alignment vertical="center"/>
    </xf>
    <xf numFmtId="37" fontId="10" fillId="0" borderId="0" xfId="0" applyNumberFormat="1" applyFont="1" applyFill="1" applyAlignment="1" applyProtection="1">
      <alignment horizontal="center" vertical="center"/>
    </xf>
    <xf numFmtId="0" fontId="9" fillId="0" borderId="0" xfId="0" applyFont="1" applyFill="1" applyAlignment="1" applyProtection="1">
      <alignment horizontal="center" vertical="center"/>
    </xf>
    <xf numFmtId="39" fontId="8" fillId="0" borderId="0" xfId="0" applyNumberFormat="1" applyFont="1" applyFill="1" applyAlignment="1" applyProtection="1">
      <alignment vertical="center"/>
    </xf>
    <xf numFmtId="37" fontId="2" fillId="0" borderId="0" xfId="0" applyNumberFormat="1" applyFont="1" applyFill="1" applyAlignment="1" applyProtection="1">
      <alignment horizontal="center" vertical="center"/>
    </xf>
    <xf numFmtId="39" fontId="8" fillId="0" borderId="5" xfId="0" applyNumberFormat="1" applyFont="1" applyFill="1" applyBorder="1" applyAlignment="1" applyProtection="1">
      <alignment vertical="center"/>
    </xf>
    <xf numFmtId="165" fontId="24" fillId="0" borderId="0" xfId="1" applyNumberFormat="1" applyFont="1" applyFill="1" applyAlignment="1" applyProtection="1">
      <alignment horizontal="center" vertical="center"/>
    </xf>
    <xf numFmtId="0" fontId="9" fillId="0" borderId="0" xfId="0" applyFont="1" applyFill="1" applyAlignment="1" applyProtection="1">
      <alignment horizontal="left" vertical="center"/>
    </xf>
    <xf numFmtId="37" fontId="15"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44" fontId="15" fillId="0" borderId="8" xfId="3" applyFont="1" applyFill="1" applyBorder="1" applyAlignment="1" applyProtection="1">
      <alignment vertical="center"/>
    </xf>
    <xf numFmtId="0" fontId="0" fillId="0" borderId="0" xfId="0" applyFont="1" applyFill="1"/>
    <xf numFmtId="44" fontId="15" fillId="0" borderId="0" xfId="3" applyFont="1" applyFill="1" applyBorder="1" applyAlignment="1" applyProtection="1">
      <alignment vertical="center"/>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right" vertical="center"/>
    </xf>
    <xf numFmtId="0" fontId="24" fillId="0" borderId="0" xfId="0" applyFont="1" applyFill="1" applyBorder="1" applyAlignment="1">
      <alignment horizontal="center" vertical="center"/>
    </xf>
    <xf numFmtId="0" fontId="2" fillId="0" borderId="0" xfId="0" applyFont="1" applyFill="1" applyAlignment="1" applyProtection="1">
      <alignment horizontal="center" vertical="center"/>
    </xf>
    <xf numFmtId="0" fontId="8" fillId="0" borderId="0" xfId="0" applyFont="1" applyFill="1" applyAlignment="1">
      <alignment horizontal="center" vertical="center"/>
    </xf>
    <xf numFmtId="0" fontId="24"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15" fillId="0" borderId="102" xfId="0" applyNumberFormat="1" applyFont="1" applyFill="1" applyBorder="1" applyAlignment="1" applyProtection="1">
      <alignment horizontal="center" vertical="center"/>
    </xf>
    <xf numFmtId="49" fontId="8" fillId="0" borderId="102" xfId="0" applyNumberFormat="1" applyFont="1" applyFill="1" applyBorder="1" applyAlignment="1" applyProtection="1">
      <alignment horizontal="center" vertical="center"/>
    </xf>
    <xf numFmtId="0" fontId="8" fillId="0" borderId="102" xfId="0" applyFont="1" applyFill="1" applyBorder="1" applyAlignment="1" applyProtection="1">
      <alignment horizontal="center" vertical="center"/>
    </xf>
    <xf numFmtId="178" fontId="8" fillId="0" borderId="0" xfId="7"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37" fontId="2"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78" fontId="2" fillId="0" borderId="0" xfId="7" applyNumberFormat="1" applyFont="1" applyFill="1" applyAlignment="1">
      <alignment vertical="center"/>
    </xf>
    <xf numFmtId="37" fontId="2" fillId="0" borderId="0" xfId="0" applyNumberFormat="1" applyFont="1" applyFill="1" applyAlignment="1" applyProtection="1">
      <alignment vertical="center"/>
    </xf>
    <xf numFmtId="165" fontId="2" fillId="0" borderId="0" xfId="8" applyNumberFormat="1" applyFont="1" applyFill="1" applyBorder="1" applyAlignment="1">
      <alignment horizontal="center" vertical="center"/>
    </xf>
    <xf numFmtId="37" fontId="2" fillId="0" borderId="0" xfId="0" applyNumberFormat="1" applyFont="1" applyFill="1" applyAlignment="1" applyProtection="1">
      <alignment horizontal="right" vertical="center"/>
    </xf>
    <xf numFmtId="178" fontId="2" fillId="0" borderId="0" xfId="7" applyNumberFormat="1" applyFont="1" applyFill="1" applyAlignment="1" applyProtection="1">
      <alignment horizontal="right" vertical="center"/>
    </xf>
    <xf numFmtId="165" fontId="2" fillId="0" borderId="0" xfId="0" applyNumberFormat="1" applyFont="1" applyFill="1" applyBorder="1" applyAlignment="1">
      <alignment horizontal="center" vertical="center"/>
    </xf>
    <xf numFmtId="37" fontId="8" fillId="0" borderId="87" xfId="0" applyNumberFormat="1" applyFont="1" applyFill="1" applyBorder="1" applyAlignment="1" applyProtection="1">
      <alignment vertical="center"/>
    </xf>
    <xf numFmtId="0" fontId="9" fillId="0" borderId="87" xfId="0" applyFont="1" applyFill="1" applyBorder="1" applyAlignment="1" applyProtection="1">
      <alignment horizontal="center" vertical="center"/>
    </xf>
    <xf numFmtId="0" fontId="2" fillId="0" borderId="87" xfId="0" applyFont="1" applyFill="1" applyBorder="1" applyAlignment="1">
      <alignment vertical="center"/>
    </xf>
    <xf numFmtId="165" fontId="2" fillId="0" borderId="87" xfId="8" applyNumberFormat="1" applyFont="1" applyFill="1" applyBorder="1" applyAlignment="1">
      <alignment horizontal="center" vertical="center"/>
    </xf>
    <xf numFmtId="178" fontId="9" fillId="0" borderId="0" xfId="7" applyNumberFormat="1" applyFont="1" applyFill="1" applyAlignment="1" applyProtection="1">
      <alignment vertical="center"/>
    </xf>
    <xf numFmtId="4" fontId="4" fillId="0" borderId="0" xfId="0" applyNumberFormat="1" applyFont="1" applyFill="1" applyBorder="1"/>
    <xf numFmtId="178" fontId="2" fillId="0" borderId="0" xfId="0" applyNumberFormat="1" applyFont="1" applyFill="1" applyBorder="1" applyAlignment="1">
      <alignment vertical="center"/>
    </xf>
    <xf numFmtId="37" fontId="4" fillId="0" borderId="0" xfId="0" applyNumberFormat="1" applyFont="1" applyFill="1" applyAlignment="1" applyProtection="1">
      <alignment vertical="center"/>
    </xf>
    <xf numFmtId="37" fontId="24" fillId="0" borderId="0" xfId="0" applyNumberFormat="1" applyFont="1" applyFill="1" applyAlignment="1" applyProtection="1">
      <alignment vertical="center"/>
    </xf>
    <xf numFmtId="37" fontId="8" fillId="0" borderId="103" xfId="0" applyNumberFormat="1" applyFont="1" applyFill="1" applyBorder="1" applyAlignment="1" applyProtection="1">
      <alignment vertical="center"/>
    </xf>
    <xf numFmtId="37" fontId="8" fillId="0" borderId="103" xfId="0" applyNumberFormat="1" applyFont="1" applyFill="1" applyBorder="1" applyAlignment="1" applyProtection="1">
      <alignment horizontal="center" vertical="center"/>
    </xf>
    <xf numFmtId="37" fontId="2" fillId="0" borderId="0" xfId="0" applyNumberFormat="1" applyFont="1" applyFill="1" applyBorder="1" applyAlignment="1">
      <alignment vertical="center"/>
    </xf>
    <xf numFmtId="10" fontId="2" fillId="0" borderId="104" xfId="8" applyNumberFormat="1" applyFont="1" applyFill="1" applyBorder="1" applyAlignment="1">
      <alignment horizontal="center" vertical="center"/>
    </xf>
    <xf numFmtId="178" fontId="8" fillId="0" borderId="0" xfId="7"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178" fontId="54" fillId="0" borderId="0" xfId="7" applyNumberFormat="1" applyFont="1" applyFill="1" applyBorder="1" applyAlignment="1" applyProtection="1">
      <alignment horizontal="center" vertical="center"/>
    </xf>
    <xf numFmtId="43" fontId="54" fillId="0" borderId="0" xfId="7"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178" fontId="2" fillId="0" borderId="0" xfId="7" applyNumberFormat="1" applyFont="1" applyFill="1" applyBorder="1" applyAlignment="1">
      <alignment vertical="center"/>
    </xf>
    <xf numFmtId="37" fontId="4" fillId="0" borderId="0" xfId="0" applyNumberFormat="1" applyFont="1" applyFill="1" applyAlignment="1" applyProtection="1">
      <alignment horizontal="right" vertical="center"/>
    </xf>
    <xf numFmtId="0" fontId="4" fillId="0" borderId="0" xfId="0" applyFont="1" applyFill="1" applyAlignment="1" applyProtection="1">
      <alignment vertical="center"/>
    </xf>
    <xf numFmtId="0" fontId="8" fillId="0" borderId="103" xfId="0" applyFont="1" applyFill="1" applyBorder="1" applyAlignment="1" applyProtection="1">
      <alignment horizontal="center" vertical="center"/>
    </xf>
    <xf numFmtId="0" fontId="24" fillId="0" borderId="0" xfId="0" applyFont="1" applyFill="1" applyBorder="1" applyAlignment="1">
      <alignment vertical="center"/>
    </xf>
    <xf numFmtId="168" fontId="19" fillId="0" borderId="0" xfId="0" applyNumberFormat="1" applyFont="1" applyFill="1" applyBorder="1" applyAlignment="1" applyProtection="1">
      <alignment vertical="center"/>
    </xf>
    <xf numFmtId="37" fontId="24" fillId="0" borderId="0" xfId="0" applyNumberFormat="1" applyFont="1" applyFill="1" applyBorder="1" applyAlignment="1">
      <alignment vertical="center"/>
    </xf>
    <xf numFmtId="0" fontId="53" fillId="0" borderId="0" xfId="0" applyFont="1" applyFill="1" applyBorder="1" applyAlignment="1" applyProtection="1">
      <alignment horizontal="center" vertical="center"/>
    </xf>
    <xf numFmtId="9" fontId="55" fillId="0" borderId="0" xfId="8" applyFont="1" applyFill="1" applyBorder="1" applyAlignment="1" applyProtection="1">
      <alignment vertical="center"/>
    </xf>
    <xf numFmtId="37" fontId="55" fillId="0" borderId="0" xfId="0" applyNumberFormat="1" applyFont="1" applyFill="1" applyBorder="1" applyAlignment="1" applyProtection="1">
      <alignment vertical="center"/>
    </xf>
    <xf numFmtId="37" fontId="55" fillId="0" borderId="0" xfId="0" applyNumberFormat="1" applyFont="1" applyFill="1" applyAlignment="1" applyProtection="1">
      <alignment vertical="center"/>
    </xf>
    <xf numFmtId="178" fontId="2" fillId="0" borderId="0" xfId="7" applyNumberFormat="1" applyFont="1" applyFill="1" applyBorder="1" applyAlignment="1" applyProtection="1">
      <alignment vertical="center"/>
    </xf>
    <xf numFmtId="37" fontId="55" fillId="0" borderId="0" xfId="0" applyNumberFormat="1" applyFont="1" applyFill="1" applyAlignment="1" applyProtection="1">
      <alignment horizontal="right" vertical="center"/>
    </xf>
    <xf numFmtId="37" fontId="24" fillId="0" borderId="0" xfId="0" applyNumberFormat="1" applyFont="1" applyFill="1" applyAlignment="1" applyProtection="1">
      <alignment horizontal="right" vertical="center"/>
    </xf>
    <xf numFmtId="165" fontId="2" fillId="0" borderId="104" xfId="8" applyNumberFormat="1" applyFont="1" applyFill="1" applyBorder="1" applyAlignment="1">
      <alignment horizontal="center" vertical="center"/>
    </xf>
    <xf numFmtId="37" fontId="56" fillId="0" borderId="0" xfId="0" applyNumberFormat="1" applyFont="1" applyFill="1" applyAlignment="1" applyProtection="1">
      <alignment horizontal="right" vertical="center"/>
    </xf>
    <xf numFmtId="37" fontId="57" fillId="0" borderId="0" xfId="0" applyNumberFormat="1" applyFont="1" applyFill="1" applyAlignment="1" applyProtection="1">
      <alignment horizontal="right" vertical="center"/>
    </xf>
    <xf numFmtId="0" fontId="56" fillId="0" borderId="0" xfId="0" applyFont="1" applyFill="1" applyAlignment="1" applyProtection="1">
      <alignment horizontal="center" vertical="center"/>
    </xf>
    <xf numFmtId="37" fontId="58" fillId="0" borderId="0" xfId="0" applyNumberFormat="1" applyFont="1" applyFill="1" applyAlignment="1" applyProtection="1">
      <alignment horizontal="right" vertical="center"/>
    </xf>
    <xf numFmtId="0" fontId="55" fillId="0" borderId="0" xfId="0" applyFont="1" applyFill="1" applyBorder="1" applyProtection="1"/>
    <xf numFmtId="0" fontId="9" fillId="0" borderId="0" xfId="0" applyFont="1" applyFill="1" applyBorder="1" applyProtection="1"/>
    <xf numFmtId="37" fontId="24" fillId="0" borderId="0" xfId="0" applyNumberFormat="1" applyFont="1" applyFill="1" applyProtection="1"/>
    <xf numFmtId="0" fontId="2" fillId="0" borderId="0" xfId="0" applyFont="1" applyFill="1" applyProtection="1"/>
    <xf numFmtId="40" fontId="2" fillId="0" borderId="0" xfId="3" applyNumberFormat="1" applyFont="1" applyFill="1" applyBorder="1" applyAlignment="1">
      <alignment horizontal="center"/>
    </xf>
    <xf numFmtId="165" fontId="2" fillId="0" borderId="0" xfId="8" applyNumberFormat="1" applyFont="1" applyFill="1" applyBorder="1" applyAlignment="1">
      <alignment horizontal="center"/>
    </xf>
    <xf numFmtId="0" fontId="2" fillId="0" borderId="0" xfId="0" applyFont="1" applyFill="1"/>
    <xf numFmtId="0" fontId="55" fillId="0" borderId="0" xfId="0" applyFont="1" applyFill="1" applyBorder="1"/>
    <xf numFmtId="37" fontId="9" fillId="0" borderId="0" xfId="0" applyNumberFormat="1" applyFont="1" applyFill="1" applyBorder="1" applyProtection="1"/>
    <xf numFmtId="39" fontId="9" fillId="0" borderId="0" xfId="0" applyNumberFormat="1" applyFont="1" applyFill="1" applyProtection="1"/>
    <xf numFmtId="39" fontId="9" fillId="0" borderId="0" xfId="0" applyNumberFormat="1" applyFont="1" applyFill="1" applyAlignment="1" applyProtection="1">
      <alignment horizontal="center"/>
    </xf>
    <xf numFmtId="37" fontId="2" fillId="0" borderId="0" xfId="0" applyNumberFormat="1" applyFont="1" applyFill="1" applyProtection="1"/>
    <xf numFmtId="39" fontId="9" fillId="0" borderId="0" xfId="0" applyNumberFormat="1" applyFont="1" applyFill="1" applyAlignment="1" applyProtection="1">
      <alignment horizontal="center" vertical="center"/>
    </xf>
    <xf numFmtId="37" fontId="9" fillId="0" borderId="0" xfId="0" applyNumberFormat="1" applyFont="1" applyFill="1" applyProtection="1"/>
    <xf numFmtId="179" fontId="2" fillId="0" borderId="0" xfId="8" applyNumberFormat="1" applyFont="1" applyFill="1" applyBorder="1" applyAlignment="1">
      <alignment horizontal="center"/>
    </xf>
    <xf numFmtId="179" fontId="2" fillId="0" borderId="0" xfId="8" applyNumberFormat="1" applyFont="1" applyFill="1" applyBorder="1" applyAlignment="1">
      <alignment horizontal="center" vertical="center"/>
    </xf>
    <xf numFmtId="37" fontId="8" fillId="0" borderId="105" xfId="0" applyNumberFormat="1" applyFont="1" applyFill="1" applyBorder="1" applyProtection="1"/>
    <xf numFmtId="39" fontId="10" fillId="0" borderId="0" xfId="0" applyNumberFormat="1" applyFont="1" applyFill="1" applyAlignment="1" applyProtection="1">
      <alignment horizontal="center"/>
    </xf>
    <xf numFmtId="0" fontId="8" fillId="0" borderId="0" xfId="0" applyFont="1" applyFill="1" applyBorder="1"/>
    <xf numFmtId="179" fontId="8" fillId="0" borderId="0" xfId="8" applyNumberFormat="1" applyFont="1" applyFill="1" applyBorder="1" applyAlignment="1">
      <alignment horizontal="center"/>
    </xf>
    <xf numFmtId="0" fontId="8" fillId="0" borderId="0" xfId="0" applyFont="1" applyFill="1"/>
    <xf numFmtId="0" fontId="55" fillId="0" borderId="0" xfId="0" applyFont="1" applyFill="1" applyProtection="1"/>
    <xf numFmtId="179" fontId="2" fillId="0" borderId="0" xfId="0" applyNumberFormat="1" applyFont="1" applyFill="1" applyBorder="1" applyAlignment="1">
      <alignment horizontal="center"/>
    </xf>
    <xf numFmtId="0" fontId="9" fillId="0" borderId="0" xfId="0" applyFont="1" applyFill="1" applyProtection="1"/>
    <xf numFmtId="0" fontId="2" fillId="0" borderId="0" xfId="0" applyFont="1" applyFill="1" applyBorder="1" applyAlignment="1">
      <alignment horizontal="center"/>
    </xf>
    <xf numFmtId="0" fontId="55" fillId="0" borderId="0" xfId="0" applyFont="1" applyFill="1"/>
    <xf numFmtId="0" fontId="9" fillId="0" borderId="0" xfId="0" applyFont="1" applyFill="1" applyAlignment="1" applyProtection="1">
      <alignment horizontal="center"/>
    </xf>
    <xf numFmtId="40" fontId="24" fillId="0" borderId="0" xfId="3" applyNumberFormat="1"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Protection="1"/>
    <xf numFmtId="0" fontId="2" fillId="0" borderId="0" xfId="0" applyFont="1" applyFill="1" applyAlignment="1">
      <alignment horizontal="center"/>
    </xf>
    <xf numFmtId="37" fontId="55" fillId="0" borderId="0" xfId="0" applyNumberFormat="1" applyFont="1" applyFill="1" applyBorder="1" applyProtection="1"/>
    <xf numFmtId="44" fontId="24" fillId="0" borderId="0" xfId="0" applyNumberFormat="1" applyFont="1" applyFill="1" applyBorder="1" applyAlignment="1" applyProtection="1">
      <alignment vertical="center"/>
    </xf>
    <xf numFmtId="44" fontId="24" fillId="0" borderId="0" xfId="3" applyFont="1" applyAlignment="1">
      <alignment horizontal="right"/>
    </xf>
    <xf numFmtId="44" fontId="19" fillId="0" borderId="0" xfId="0" applyNumberFormat="1" applyFont="1"/>
    <xf numFmtId="8" fontId="24" fillId="0" borderId="0" xfId="0" applyNumberFormat="1" applyFont="1"/>
    <xf numFmtId="0" fontId="19" fillId="0" borderId="0" xfId="0" applyFont="1" applyBorder="1" applyAlignment="1">
      <alignment horizontal="center" vertical="center"/>
    </xf>
    <xf numFmtId="0" fontId="46" fillId="0" borderId="0" xfId="0" applyFont="1" applyFill="1" applyAlignment="1" applyProtection="1">
      <alignment vertical="center"/>
    </xf>
    <xf numFmtId="0" fontId="46" fillId="0" borderId="0" xfId="0" applyFont="1" applyFill="1" applyAlignment="1" applyProtection="1">
      <alignment horizontal="right" vertical="center"/>
    </xf>
    <xf numFmtId="0" fontId="59" fillId="0" borderId="0" xfId="0" applyFont="1" applyFill="1" applyBorder="1" applyAlignment="1" applyProtection="1">
      <alignment horizontal="right" vertical="center"/>
    </xf>
    <xf numFmtId="0" fontId="0" fillId="0" borderId="0" xfId="0" applyFill="1" applyAlignment="1">
      <alignment vertical="center"/>
    </xf>
    <xf numFmtId="0" fontId="0" fillId="0" borderId="0" xfId="0" applyFill="1" applyBorder="1" applyAlignment="1">
      <alignment vertical="center"/>
    </xf>
    <xf numFmtId="0" fontId="46" fillId="0" borderId="0" xfId="0" applyFont="1" applyFill="1" applyAlignment="1" applyProtection="1">
      <alignment horizontal="center" vertical="center"/>
    </xf>
    <xf numFmtId="0" fontId="46" fillId="0" borderId="0" xfId="0" applyFont="1" applyFill="1" applyAlignment="1">
      <alignment vertical="center"/>
    </xf>
    <xf numFmtId="0" fontId="60" fillId="0" borderId="0" xfId="0" applyFont="1" applyFill="1" applyBorder="1" applyAlignment="1">
      <alignment horizontal="center" vertical="center"/>
    </xf>
    <xf numFmtId="49" fontId="8" fillId="0" borderId="0" xfId="0" applyNumberFormat="1" applyFont="1" applyFill="1" applyBorder="1" applyAlignment="1" applyProtection="1">
      <alignment horizontal="center" vertical="center"/>
    </xf>
    <xf numFmtId="0" fontId="60" fillId="0" borderId="9"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5" fillId="0" borderId="0" xfId="0" applyFont="1" applyFill="1" applyAlignment="1">
      <alignment vertical="center"/>
    </xf>
    <xf numFmtId="0" fontId="65" fillId="0" borderId="0" xfId="0" applyFont="1" applyFill="1" applyBorder="1" applyAlignment="1">
      <alignment vertical="center"/>
    </xf>
    <xf numFmtId="0" fontId="66" fillId="0" borderId="0" xfId="0" applyFont="1" applyAlignment="1" applyProtection="1">
      <alignment vertical="center"/>
    </xf>
    <xf numFmtId="0" fontId="55" fillId="0" borderId="0" xfId="0" applyFont="1" applyFill="1" applyBorder="1" applyAlignment="1" applyProtection="1">
      <alignment horizontal="center" vertical="center"/>
    </xf>
    <xf numFmtId="37" fontId="9" fillId="0" borderId="0" xfId="0" applyNumberFormat="1" applyFont="1" applyFill="1" applyAlignment="1" applyProtection="1">
      <alignment horizontal="right" vertical="center"/>
    </xf>
    <xf numFmtId="0" fontId="67" fillId="0" borderId="0" xfId="0" applyFont="1" applyAlignment="1" applyProtection="1">
      <alignment horizontal="right" vertical="center"/>
    </xf>
    <xf numFmtId="37" fontId="65" fillId="0" borderId="0" xfId="0" applyNumberFormat="1" applyFont="1" applyFill="1" applyBorder="1" applyAlignment="1">
      <alignment vertical="center"/>
    </xf>
    <xf numFmtId="37" fontId="8" fillId="0" borderId="0" xfId="0" applyNumberFormat="1" applyFont="1" applyFill="1" applyBorder="1" applyAlignment="1" applyProtection="1">
      <alignment horizontal="center" vertical="center"/>
    </xf>
    <xf numFmtId="38" fontId="8"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0" fontId="2" fillId="0" borderId="0" xfId="0" applyFont="1" applyFill="1" applyAlignment="1" applyProtection="1">
      <alignment horizontal="left" vertical="center"/>
    </xf>
    <xf numFmtId="38" fontId="2" fillId="0" borderId="0" xfId="0" applyNumberFormat="1" applyFont="1" applyFill="1" applyBorder="1" applyAlignment="1" applyProtection="1">
      <alignment vertical="center"/>
    </xf>
    <xf numFmtId="168" fontId="8"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178" fontId="2" fillId="0" borderId="0" xfId="7" applyNumberFormat="1" applyFont="1" applyFill="1" applyAlignment="1" applyProtection="1">
      <alignment horizontal="center" vertical="center"/>
    </xf>
    <xf numFmtId="38" fontId="2" fillId="0" borderId="0" xfId="3" applyNumberFormat="1" applyFont="1" applyFill="1" applyAlignment="1" applyProtection="1">
      <alignment horizontal="right" vertical="center"/>
    </xf>
    <xf numFmtId="37" fontId="72" fillId="0" borderId="0" xfId="0" applyNumberFormat="1" applyFont="1" applyFill="1" applyBorder="1" applyAlignment="1" applyProtection="1">
      <alignment vertical="center"/>
    </xf>
    <xf numFmtId="9" fontId="65" fillId="0" borderId="0" xfId="8" applyFont="1" applyFill="1" applyBorder="1" applyAlignment="1">
      <alignment vertical="center"/>
    </xf>
    <xf numFmtId="178" fontId="65" fillId="0" borderId="0" xfId="7" applyNumberFormat="1" applyFont="1" applyFill="1" applyBorder="1" applyAlignment="1">
      <alignment vertical="center"/>
    </xf>
    <xf numFmtId="178" fontId="9" fillId="0" borderId="0" xfId="7" applyNumberFormat="1" applyFont="1" applyFill="1" applyAlignment="1" applyProtection="1">
      <alignment horizontal="center" vertical="center"/>
    </xf>
    <xf numFmtId="38" fontId="2" fillId="0" borderId="0" xfId="3" applyNumberFormat="1" applyFont="1" applyFill="1" applyAlignment="1">
      <alignment horizontal="right" vertical="center"/>
    </xf>
    <xf numFmtId="38" fontId="24" fillId="0" borderId="0" xfId="3" applyNumberFormat="1" applyFont="1" applyFill="1" applyAlignment="1" applyProtection="1">
      <alignment horizontal="right" vertical="center"/>
    </xf>
    <xf numFmtId="38" fontId="24" fillId="0" borderId="0" xfId="0" applyNumberFormat="1" applyFont="1" applyFill="1" applyAlignment="1" applyProtection="1">
      <alignment horizontal="right" vertical="center"/>
    </xf>
    <xf numFmtId="38" fontId="2" fillId="0" borderId="0" xfId="7" applyNumberFormat="1" applyFont="1" applyFill="1" applyAlignment="1" applyProtection="1">
      <alignment horizontal="right" vertical="center"/>
    </xf>
    <xf numFmtId="0" fontId="65" fillId="0" borderId="0" xfId="0" applyFont="1" applyFill="1" applyBorder="1"/>
    <xf numFmtId="0" fontId="2" fillId="0" borderId="0" xfId="0" applyFont="1" applyFill="1" applyBorder="1" applyProtection="1"/>
    <xf numFmtId="0" fontId="46" fillId="0" borderId="0" xfId="0" applyFont="1" applyFill="1"/>
    <xf numFmtId="0" fontId="65" fillId="0" borderId="0" xfId="0" applyFont="1" applyFill="1"/>
    <xf numFmtId="37" fontId="10" fillId="0" borderId="0" xfId="0" applyNumberFormat="1" applyFont="1" applyFill="1" applyBorder="1" applyProtection="1"/>
    <xf numFmtId="37" fontId="8" fillId="0" borderId="0" xfId="0" applyNumberFormat="1" applyFont="1" applyFill="1" applyBorder="1" applyProtection="1"/>
    <xf numFmtId="0" fontId="59" fillId="0" borderId="0" xfId="0" applyFont="1" applyFill="1"/>
    <xf numFmtId="0" fontId="74" fillId="0" borderId="0" xfId="0" applyFont="1" applyFill="1" applyBorder="1"/>
    <xf numFmtId="0" fontId="74" fillId="0" borderId="0" xfId="0" applyFont="1" applyFill="1"/>
    <xf numFmtId="0" fontId="63" fillId="0" borderId="0" xfId="0" applyFont="1" applyFill="1" applyProtection="1"/>
    <xf numFmtId="37" fontId="18" fillId="0" borderId="0" xfId="0" applyNumberFormat="1" applyFont="1" applyFill="1" applyProtection="1"/>
    <xf numFmtId="37" fontId="63" fillId="0" borderId="0" xfId="0" applyNumberFormat="1" applyFont="1" applyFill="1" applyProtection="1"/>
    <xf numFmtId="39" fontId="63" fillId="0" borderId="0" xfId="0" applyNumberFormat="1" applyFont="1" applyFill="1" applyProtection="1"/>
    <xf numFmtId="0" fontId="18" fillId="0" borderId="0" xfId="0" applyFont="1" applyFill="1" applyProtection="1"/>
    <xf numFmtId="0" fontId="75" fillId="0" borderId="0" xfId="0" applyFont="1" applyAlignment="1">
      <alignment horizontal="left"/>
    </xf>
    <xf numFmtId="0" fontId="76" fillId="0" borderId="0" xfId="0" applyFont="1" applyAlignment="1">
      <alignment horizontal="left"/>
    </xf>
    <xf numFmtId="0" fontId="65" fillId="0" borderId="0" xfId="0" applyFont="1" applyFill="1" applyProtection="1"/>
    <xf numFmtId="39" fontId="78" fillId="0" borderId="0" xfId="0" applyNumberFormat="1" applyFont="1" applyFill="1" applyProtection="1"/>
    <xf numFmtId="39" fontId="66" fillId="0" borderId="0" xfId="0" applyNumberFormat="1" applyFont="1" applyFill="1" applyProtection="1"/>
    <xf numFmtId="37" fontId="46" fillId="0" borderId="0" xfId="0" applyNumberFormat="1" applyFont="1" applyFill="1" applyProtection="1"/>
    <xf numFmtId="0" fontId="79" fillId="0" borderId="0" xfId="0" applyFont="1" applyFill="1" applyProtection="1"/>
    <xf numFmtId="37" fontId="0" fillId="0" borderId="0" xfId="0" applyNumberFormat="1" applyFont="1" applyFill="1" applyProtection="1"/>
    <xf numFmtId="0" fontId="66" fillId="0" borderId="0" xfId="0" applyFont="1" applyFill="1" applyProtection="1"/>
    <xf numFmtId="0" fontId="0" fillId="0" borderId="0" xfId="0" applyFont="1" applyFill="1" applyProtection="1"/>
    <xf numFmtId="0" fontId="80" fillId="0" borderId="0" xfId="0" applyFont="1" applyFill="1"/>
    <xf numFmtId="0" fontId="50" fillId="0" borderId="0" xfId="0" applyFont="1" applyFill="1" applyBorder="1" applyAlignment="1" applyProtection="1">
      <alignment horizontal="center" vertical="center"/>
    </xf>
    <xf numFmtId="0" fontId="81" fillId="0" borderId="0" xfId="0" applyFont="1" applyFill="1" applyAlignment="1">
      <alignment horizontal="center" vertical="center"/>
    </xf>
    <xf numFmtId="0" fontId="61" fillId="0" borderId="0" xfId="0" applyFont="1" applyFill="1" applyBorder="1" applyAlignment="1">
      <alignment horizontal="center" vertical="center"/>
    </xf>
    <xf numFmtId="49" fontId="50" fillId="0" borderId="102" xfId="0" applyNumberFormat="1" applyFont="1" applyFill="1" applyBorder="1" applyAlignment="1" applyProtection="1">
      <alignment horizontal="center" vertical="center"/>
    </xf>
    <xf numFmtId="49" fontId="81" fillId="0" borderId="102" xfId="0" applyNumberFormat="1" applyFont="1" applyFill="1" applyBorder="1" applyAlignment="1" applyProtection="1">
      <alignment horizontal="center" vertical="center"/>
    </xf>
    <xf numFmtId="0" fontId="66" fillId="0" borderId="0" xfId="0" applyFont="1" applyBorder="1" applyAlignment="1" applyProtection="1">
      <alignment vertical="center"/>
    </xf>
    <xf numFmtId="0" fontId="46" fillId="0" borderId="0" xfId="0" applyFont="1" applyFill="1" applyBorder="1" applyAlignment="1">
      <alignment vertical="center"/>
    </xf>
    <xf numFmtId="0" fontId="66" fillId="0" borderId="0" xfId="0" applyFont="1" applyFill="1" applyBorder="1" applyAlignment="1" applyProtection="1">
      <alignment vertical="center"/>
    </xf>
    <xf numFmtId="37" fontId="9" fillId="0" borderId="0" xfId="0" applyNumberFormat="1" applyFont="1" applyFill="1" applyBorder="1" applyAlignment="1" applyProtection="1">
      <alignment horizontal="right" vertical="center"/>
    </xf>
    <xf numFmtId="0" fontId="68" fillId="0" borderId="0" xfId="0" applyFont="1" applyBorder="1" applyAlignment="1">
      <alignment horizontal="center" vertical="center" wrapText="1"/>
    </xf>
    <xf numFmtId="0" fontId="68" fillId="0" borderId="0" xfId="0" applyFont="1" applyBorder="1" applyAlignment="1">
      <alignment horizontal="center" vertical="center"/>
    </xf>
    <xf numFmtId="0" fontId="68" fillId="0" borderId="0" xfId="0" applyFont="1" applyBorder="1" applyAlignment="1">
      <alignment vertical="center"/>
    </xf>
    <xf numFmtId="0" fontId="0" fillId="0" borderId="0" xfId="0" applyBorder="1" applyAlignment="1">
      <alignment vertical="center"/>
    </xf>
    <xf numFmtId="0" fontId="69" fillId="0" borderId="0" xfId="0" applyFont="1" applyBorder="1" applyAlignment="1">
      <alignment horizontal="center" vertical="center" wrapText="1"/>
    </xf>
    <xf numFmtId="0" fontId="69" fillId="0" borderId="0" xfId="0" applyFont="1" applyBorder="1" applyAlignment="1">
      <alignment horizontal="center" vertical="center"/>
    </xf>
    <xf numFmtId="0" fontId="70" fillId="0" borderId="0" xfId="0" applyFont="1" applyBorder="1" applyAlignment="1">
      <alignment vertical="center"/>
    </xf>
    <xf numFmtId="0" fontId="0" fillId="0" borderId="0" xfId="0" applyBorder="1" applyAlignment="1">
      <alignment horizontal="center" vertical="center"/>
    </xf>
    <xf numFmtId="0" fontId="71" fillId="0" borderId="0" xfId="0" applyFont="1" applyFill="1" applyBorder="1" applyAlignment="1">
      <alignment horizontal="center" vertical="center"/>
    </xf>
    <xf numFmtId="178" fontId="0" fillId="0" borderId="0" xfId="7" applyNumberFormat="1" applyFont="1" applyBorder="1" applyAlignment="1">
      <alignment vertical="center"/>
    </xf>
    <xf numFmtId="178" fontId="9" fillId="0" borderId="0" xfId="7" applyNumberFormat="1" applyFont="1" applyFill="1" applyBorder="1" applyAlignment="1" applyProtection="1">
      <alignment horizontal="center" vertical="center"/>
    </xf>
    <xf numFmtId="178" fontId="65" fillId="0" borderId="0" xfId="7" applyNumberFormat="1" applyFont="1" applyBorder="1" applyAlignment="1">
      <alignment horizontal="center" vertical="center"/>
    </xf>
    <xf numFmtId="178" fontId="73" fillId="0" borderId="0" xfId="7" applyNumberFormat="1" applyFont="1" applyBorder="1" applyAlignment="1" applyProtection="1">
      <alignment vertical="center"/>
    </xf>
    <xf numFmtId="0" fontId="46" fillId="0" borderId="0" xfId="0" applyFont="1" applyFill="1" applyBorder="1"/>
    <xf numFmtId="0" fontId="59" fillId="0" borderId="0" xfId="0" applyFont="1" applyFill="1" applyBorder="1"/>
    <xf numFmtId="0" fontId="74" fillId="0" borderId="0" xfId="0" applyFont="1" applyAlignment="1">
      <alignment horizontal="center"/>
    </xf>
    <xf numFmtId="0" fontId="0" fillId="0" borderId="0" xfId="0" applyAlignment="1"/>
    <xf numFmtId="0" fontId="0" fillId="0" borderId="0" xfId="0" applyFill="1" applyBorder="1" applyAlignment="1"/>
    <xf numFmtId="0" fontId="32" fillId="0" borderId="0" xfId="5" applyFont="1" applyFill="1"/>
    <xf numFmtId="10" fontId="4" fillId="0" borderId="0" xfId="1" applyNumberFormat="1" applyFont="1" applyFill="1"/>
    <xf numFmtId="2" fontId="4" fillId="0" borderId="0" xfId="3" applyNumberFormat="1" applyFont="1"/>
    <xf numFmtId="0" fontId="15" fillId="0" borderId="0" xfId="0" applyFont="1" applyFill="1"/>
    <xf numFmtId="0" fontId="4" fillId="0" borderId="18" xfId="0" applyFont="1" applyFill="1" applyBorder="1" applyAlignment="1">
      <alignment horizontal="center" textRotation="90" wrapText="1"/>
    </xf>
    <xf numFmtId="0" fontId="4" fillId="0" borderId="17" xfId="0" applyFont="1" applyBorder="1" applyAlignment="1">
      <alignment horizontal="center" textRotation="90" wrapText="1"/>
    </xf>
    <xf numFmtId="0" fontId="4" fillId="0" borderId="17" xfId="0" applyFont="1" applyFill="1" applyBorder="1" applyAlignment="1">
      <alignment horizontal="center" textRotation="90" wrapText="1"/>
    </xf>
    <xf numFmtId="0" fontId="4" fillId="0" borderId="0" xfId="0" applyFont="1" applyAlignment="1">
      <alignment horizontal="center" wrapText="1"/>
    </xf>
    <xf numFmtId="9" fontId="4" fillId="0" borderId="0" xfId="1" applyFont="1" applyAlignment="1">
      <alignment horizontal="center"/>
    </xf>
    <xf numFmtId="10" fontId="4" fillId="0" borderId="0" xfId="1" applyNumberFormat="1" applyFont="1" applyBorder="1" applyAlignment="1">
      <alignment horizontal="center"/>
    </xf>
    <xf numFmtId="8" fontId="4" fillId="0" borderId="0" xfId="0" applyNumberFormat="1" applyFont="1" applyAlignment="1">
      <alignment horizontal="center"/>
    </xf>
    <xf numFmtId="0" fontId="30" fillId="0" borderId="0" xfId="0" applyFont="1"/>
    <xf numFmtId="0" fontId="15" fillId="0" borderId="0" xfId="0" applyFont="1" applyAlignment="1">
      <alignment horizontal="center"/>
    </xf>
    <xf numFmtId="38" fontId="2" fillId="0" borderId="0" xfId="3" applyNumberFormat="1" applyFont="1" applyFill="1" applyBorder="1" applyAlignment="1">
      <alignment horizontal="center" vertical="center"/>
    </xf>
    <xf numFmtId="38" fontId="2" fillId="0" borderId="87" xfId="3" applyNumberFormat="1" applyFont="1" applyFill="1" applyBorder="1" applyAlignment="1">
      <alignment horizontal="center" vertical="center"/>
    </xf>
    <xf numFmtId="38" fontId="2" fillId="0" borderId="0" xfId="3" applyNumberFormat="1" applyFont="1" applyFill="1" applyBorder="1" applyAlignment="1">
      <alignment horizontal="center"/>
    </xf>
    <xf numFmtId="38" fontId="8" fillId="0" borderId="0" xfId="3" applyNumberFormat="1" applyFont="1" applyFill="1" applyBorder="1" applyAlignment="1">
      <alignment horizontal="center" vertical="center"/>
    </xf>
    <xf numFmtId="3" fontId="59" fillId="0" borderId="0" xfId="0" applyNumberFormat="1" applyFont="1" applyFill="1" applyBorder="1" applyAlignment="1" applyProtection="1">
      <alignment vertical="center"/>
    </xf>
    <xf numFmtId="3" fontId="46" fillId="0" borderId="0" xfId="0" applyNumberFormat="1" applyFont="1" applyFill="1" applyAlignment="1">
      <alignment vertical="center"/>
    </xf>
    <xf numFmtId="3" fontId="60" fillId="0" borderId="0" xfId="0" applyNumberFormat="1" applyFont="1" applyFill="1" applyBorder="1" applyAlignment="1">
      <alignment horizontal="center" vertical="center"/>
    </xf>
    <xf numFmtId="3" fontId="60" fillId="0" borderId="9" xfId="0" applyNumberFormat="1" applyFont="1" applyFill="1" applyBorder="1" applyAlignment="1">
      <alignment horizontal="center" vertical="center"/>
    </xf>
    <xf numFmtId="3" fontId="64" fillId="0" borderId="0" xfId="0" applyNumberFormat="1" applyFont="1" applyFill="1" applyBorder="1" applyAlignment="1" applyProtection="1">
      <alignment horizontal="center" vertical="center"/>
    </xf>
    <xf numFmtId="3" fontId="64"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 fontId="2" fillId="0" borderId="0" xfId="3" applyNumberFormat="1" applyFont="1" applyFill="1" applyBorder="1" applyAlignment="1">
      <alignment vertical="center"/>
    </xf>
    <xf numFmtId="3" fontId="2" fillId="0" borderId="0" xfId="3" applyNumberFormat="1" applyFont="1" applyFill="1" applyAlignment="1" applyProtection="1">
      <alignment vertical="center"/>
    </xf>
    <xf numFmtId="3" fontId="8" fillId="0" borderId="0" xfId="3" applyNumberFormat="1" applyFont="1" applyFill="1" applyBorder="1" applyAlignment="1" applyProtection="1">
      <alignment vertical="center"/>
    </xf>
    <xf numFmtId="3" fontId="2" fillId="0" borderId="0" xfId="3" applyNumberFormat="1" applyFont="1" applyFill="1" applyAlignment="1" applyProtection="1"/>
    <xf numFmtId="3" fontId="8" fillId="0" borderId="0" xfId="3" applyNumberFormat="1" applyFont="1" applyFill="1" applyBorder="1" applyAlignment="1" applyProtection="1"/>
    <xf numFmtId="3" fontId="2" fillId="0" borderId="0" xfId="0" applyNumberFormat="1" applyFont="1" applyFill="1" applyAlignment="1" applyProtection="1"/>
    <xf numFmtId="3" fontId="2" fillId="0" borderId="0" xfId="0" applyNumberFormat="1" applyFont="1" applyFill="1" applyAlignment="1"/>
    <xf numFmtId="3" fontId="46" fillId="0" borderId="0" xfId="0" applyNumberFormat="1" applyFont="1" applyFill="1" applyAlignment="1"/>
    <xf numFmtId="3" fontId="0" fillId="0" borderId="0" xfId="0" applyNumberFormat="1" applyFont="1" applyFill="1" applyAlignment="1"/>
    <xf numFmtId="3" fontId="0" fillId="0" borderId="0" xfId="0" applyNumberFormat="1" applyFill="1" applyAlignment="1"/>
    <xf numFmtId="3" fontId="80" fillId="0" borderId="0" xfId="0" applyNumberFormat="1" applyFont="1" applyFill="1" applyAlignment="1"/>
    <xf numFmtId="0" fontId="82" fillId="0" borderId="0" xfId="0" applyFont="1" applyFill="1" applyAlignment="1">
      <alignment horizontal="center" vertical="center"/>
    </xf>
    <xf numFmtId="0" fontId="83" fillId="0" borderId="0" xfId="0" applyFont="1" applyFill="1" applyAlignment="1">
      <alignment horizontal="center" vertical="center"/>
    </xf>
    <xf numFmtId="0" fontId="30" fillId="0" borderId="0" xfId="0" applyFont="1" applyAlignment="1" applyProtection="1">
      <alignment horizontal="left" wrapText="1"/>
    </xf>
    <xf numFmtId="14" fontId="30" fillId="0" borderId="0" xfId="0" applyNumberFormat="1" applyFont="1" applyAlignment="1">
      <alignment horizontal="left"/>
    </xf>
    <xf numFmtId="181" fontId="30" fillId="0" borderId="0" xfId="0" applyNumberFormat="1" applyFont="1" applyAlignment="1">
      <alignment horizontal="left"/>
    </xf>
    <xf numFmtId="0" fontId="84" fillId="0" borderId="0" xfId="0" applyFont="1" applyAlignment="1" applyProtection="1">
      <alignment horizontal="left" wrapText="1"/>
    </xf>
    <xf numFmtId="181" fontId="51" fillId="0" borderId="0" xfId="0" applyNumberFormat="1" applyFont="1" applyAlignment="1" applyProtection="1">
      <alignment horizontal="left"/>
    </xf>
    <xf numFmtId="0" fontId="30" fillId="0" borderId="0" xfId="0" applyFont="1" applyAlignment="1" applyProtection="1">
      <alignment horizontal="left"/>
    </xf>
    <xf numFmtId="0" fontId="39" fillId="0" borderId="0" xfId="0" applyFont="1" applyAlignment="1" applyProtection="1">
      <alignment horizontal="center"/>
    </xf>
    <xf numFmtId="0" fontId="86" fillId="0" borderId="0" xfId="0" applyFont="1" applyAlignment="1" applyProtection="1">
      <alignment horizontal="center"/>
    </xf>
    <xf numFmtId="0" fontId="30" fillId="0" borderId="0" xfId="0" applyFont="1" applyAlignment="1">
      <alignment horizontal="left" vertical="center" wrapText="1"/>
    </xf>
    <xf numFmtId="9" fontId="4" fillId="0" borderId="21" xfId="1" applyFont="1" applyBorder="1" applyAlignment="1">
      <alignment horizontal="left"/>
    </xf>
    <xf numFmtId="0" fontId="2" fillId="0" borderId="22" xfId="0" applyFont="1" applyBorder="1" applyAlignment="1">
      <alignment horizontal="right"/>
    </xf>
    <xf numFmtId="0" fontId="24" fillId="0" borderId="25" xfId="0" applyFont="1" applyBorder="1" applyAlignment="1">
      <alignment horizontal="right"/>
    </xf>
    <xf numFmtId="37" fontId="2" fillId="0" borderId="28" xfId="0" applyNumberFormat="1" applyFont="1" applyFill="1" applyBorder="1" applyProtection="1"/>
    <xf numFmtId="177" fontId="15" fillId="0" borderId="0" xfId="0" applyNumberFormat="1" applyFont="1"/>
    <xf numFmtId="177" fontId="15" fillId="0" borderId="9" xfId="3" applyNumberFormat="1" applyFont="1" applyBorder="1"/>
    <xf numFmtId="177" fontId="15" fillId="0" borderId="0" xfId="3" applyNumberFormat="1" applyFont="1"/>
    <xf numFmtId="177" fontId="3" fillId="0" borderId="28" xfId="3" applyNumberFormat="1" applyFont="1" applyBorder="1"/>
    <xf numFmtId="0" fontId="24" fillId="0" borderId="0" xfId="0" applyFont="1" applyFill="1"/>
    <xf numFmtId="0" fontId="8" fillId="0" borderId="28" xfId="0" applyFont="1" applyFill="1" applyBorder="1" applyAlignment="1" applyProtection="1">
      <alignment horizontal="center" vertical="center"/>
    </xf>
    <xf numFmtId="0" fontId="56" fillId="0" borderId="28" xfId="0" applyFont="1" applyFill="1" applyBorder="1" applyAlignment="1" applyProtection="1">
      <alignment horizontal="center" vertical="center"/>
    </xf>
    <xf numFmtId="37" fontId="2" fillId="0" borderId="28" xfId="0" applyNumberFormat="1" applyFont="1" applyFill="1" applyBorder="1" applyAlignment="1" applyProtection="1">
      <alignment vertical="center"/>
    </xf>
    <xf numFmtId="37" fontId="8" fillId="0" borderId="0" xfId="0" applyNumberFormat="1" applyFont="1" applyFill="1"/>
    <xf numFmtId="37" fontId="2" fillId="0" borderId="0" xfId="0" applyNumberFormat="1" applyFont="1" applyFill="1"/>
    <xf numFmtId="0" fontId="2" fillId="0" borderId="12" xfId="0" applyFont="1" applyFill="1" applyBorder="1" applyAlignment="1">
      <alignment horizontal="center"/>
    </xf>
    <xf numFmtId="37" fontId="8" fillId="0" borderId="93" xfId="0" applyNumberFormat="1" applyFont="1" applyFill="1" applyBorder="1" applyAlignment="1" applyProtection="1">
      <alignment vertical="center"/>
    </xf>
    <xf numFmtId="37" fontId="8" fillId="0" borderId="28" xfId="0" applyNumberFormat="1" applyFont="1" applyFill="1" applyBorder="1"/>
    <xf numFmtId="37" fontId="8" fillId="0" borderId="0" xfId="0" applyNumberFormat="1" applyFont="1" applyFill="1" applyAlignment="1">
      <alignment horizontal="center"/>
    </xf>
    <xf numFmtId="0" fontId="8" fillId="0" borderId="0" xfId="0" applyFont="1" applyFill="1" applyBorder="1" applyAlignment="1">
      <alignment horizontal="center"/>
    </xf>
    <xf numFmtId="0" fontId="27" fillId="0" borderId="0" xfId="0" applyFont="1" applyFill="1" applyAlignment="1">
      <alignment horizontal="center"/>
    </xf>
    <xf numFmtId="0" fontId="8" fillId="0" borderId="0" xfId="0" applyFont="1" applyFill="1" applyAlignment="1">
      <alignment horizontal="center"/>
    </xf>
    <xf numFmtId="1" fontId="2" fillId="0" borderId="0" xfId="3" applyNumberFormat="1" applyFont="1" applyFill="1" applyAlignment="1">
      <alignment horizontal="right"/>
    </xf>
    <xf numFmtId="37" fontId="2" fillId="0" borderId="0" xfId="0" applyNumberFormat="1" applyFont="1" applyFill="1" applyAlignment="1"/>
    <xf numFmtId="0" fontId="4" fillId="10" borderId="29" xfId="0" applyFont="1" applyFill="1" applyBorder="1" applyAlignment="1">
      <alignment horizontal="center"/>
    </xf>
    <xf numFmtId="0" fontId="4" fillId="10" borderId="2" xfId="0" applyFont="1" applyFill="1" applyBorder="1" applyAlignment="1">
      <alignment horizontal="center"/>
    </xf>
    <xf numFmtId="0" fontId="4" fillId="10" borderId="2" xfId="0" applyFont="1" applyFill="1" applyBorder="1" applyAlignment="1">
      <alignment horizontal="left"/>
    </xf>
    <xf numFmtId="0" fontId="4" fillId="10" borderId="19" xfId="0" applyFont="1" applyFill="1" applyBorder="1"/>
    <xf numFmtId="44" fontId="4" fillId="10" borderId="22" xfId="3" applyFont="1" applyFill="1" applyBorder="1" applyAlignment="1"/>
    <xf numFmtId="44" fontId="4" fillId="10" borderId="0" xfId="3" applyFont="1" applyFill="1" applyBorder="1"/>
    <xf numFmtId="0" fontId="4" fillId="10" borderId="0" xfId="0" applyFont="1" applyFill="1" applyBorder="1"/>
    <xf numFmtId="0" fontId="4" fillId="10" borderId="21" xfId="0" applyFont="1" applyFill="1" applyBorder="1"/>
    <xf numFmtId="44" fontId="4" fillId="10" borderId="22" xfId="3" applyFont="1" applyFill="1" applyBorder="1" applyAlignment="1">
      <alignment horizontal="center"/>
    </xf>
    <xf numFmtId="44" fontId="4" fillId="10" borderId="22" xfId="3" applyFont="1" applyFill="1" applyBorder="1"/>
    <xf numFmtId="44" fontId="4" fillId="10" borderId="24" xfId="3" applyFont="1" applyFill="1" applyBorder="1"/>
    <xf numFmtId="44" fontId="4" fillId="10" borderId="25" xfId="3" applyFont="1" applyFill="1" applyBorder="1"/>
    <xf numFmtId="0" fontId="4" fillId="10" borderId="25" xfId="0" applyFont="1" applyFill="1" applyBorder="1"/>
    <xf numFmtId="0" fontId="4" fillId="10" borderId="26" xfId="0" applyFont="1" applyFill="1" applyBorder="1"/>
    <xf numFmtId="44" fontId="4" fillId="0" borderId="104" xfId="0" applyNumberFormat="1" applyFont="1" applyFill="1" applyBorder="1"/>
    <xf numFmtId="49" fontId="3" fillId="0" borderId="21" xfId="0" applyNumberFormat="1" applyFont="1" applyBorder="1" applyAlignment="1">
      <alignment horizontal="left"/>
    </xf>
    <xf numFmtId="44" fontId="4" fillId="0" borderId="12" xfId="3" applyFont="1" applyBorder="1"/>
    <xf numFmtId="0" fontId="2" fillId="0" borderId="21" xfId="0" applyFont="1" applyBorder="1" applyAlignment="1"/>
    <xf numFmtId="49" fontId="3" fillId="0" borderId="21" xfId="0" applyNumberFormat="1" applyFont="1" applyBorder="1" applyAlignment="1"/>
    <xf numFmtId="44" fontId="2" fillId="0" borderId="21" xfId="3" applyFont="1" applyBorder="1" applyAlignment="1">
      <alignment horizontal="center"/>
    </xf>
    <xf numFmtId="177" fontId="15" fillId="0" borderId="0" xfId="3" applyNumberFormat="1" applyFont="1" applyFill="1"/>
    <xf numFmtId="177" fontId="15" fillId="0" borderId="9" xfId="3" applyNumberFormat="1" applyFont="1" applyFill="1" applyBorder="1"/>
    <xf numFmtId="177" fontId="28" fillId="0" borderId="0" xfId="3" applyNumberFormat="1" applyFont="1"/>
    <xf numFmtId="177" fontId="28" fillId="0" borderId="2" xfId="3" applyNumberFormat="1" applyFont="1" applyBorder="1"/>
    <xf numFmtId="177" fontId="28" fillId="0" borderId="3" xfId="3" applyNumberFormat="1" applyFont="1" applyBorder="1"/>
    <xf numFmtId="177" fontId="28" fillId="0" borderId="0" xfId="3" applyNumberFormat="1" applyFont="1" applyFill="1"/>
    <xf numFmtId="177" fontId="15" fillId="0" borderId="15" xfId="3" applyNumberFormat="1" applyFont="1" applyFill="1" applyBorder="1"/>
    <xf numFmtId="177" fontId="28" fillId="0" borderId="1" xfId="3" applyNumberFormat="1" applyFont="1" applyFill="1" applyBorder="1"/>
    <xf numFmtId="0" fontId="0" fillId="0" borderId="0" xfId="0" applyAlignment="1">
      <alignment horizontal="left"/>
    </xf>
    <xf numFmtId="18" fontId="39" fillId="0" borderId="0" xfId="0" applyNumberFormat="1" applyFont="1" applyAlignment="1">
      <alignment horizontal="center"/>
    </xf>
    <xf numFmtId="0" fontId="0" fillId="0" borderId="0" xfId="0" applyAlignment="1">
      <alignment horizontal="center" vertical="center"/>
    </xf>
    <xf numFmtId="0" fontId="86"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xf>
    <xf numFmtId="177" fontId="3" fillId="0" borderId="0" xfId="3" applyNumberFormat="1" applyFont="1"/>
    <xf numFmtId="177" fontId="4" fillId="0" borderId="28" xfId="3" applyNumberFormat="1" applyFont="1" applyBorder="1"/>
    <xf numFmtId="177" fontId="4" fillId="0" borderId="0" xfId="0" applyNumberFormat="1" applyFont="1"/>
    <xf numFmtId="6" fontId="4" fillId="0" borderId="0" xfId="3" applyNumberFormat="1" applyFont="1"/>
    <xf numFmtId="6" fontId="4" fillId="0" borderId="9" xfId="3" applyNumberFormat="1" applyFont="1" applyBorder="1"/>
    <xf numFmtId="6" fontId="4" fillId="0" borderId="0" xfId="1" applyNumberFormat="1" applyFont="1"/>
    <xf numFmtId="6" fontId="4" fillId="0" borderId="0" xfId="0" applyNumberFormat="1" applyFont="1"/>
    <xf numFmtId="6" fontId="4" fillId="0" borderId="15" xfId="3" applyNumberFormat="1" applyFont="1" applyFill="1" applyBorder="1"/>
    <xf numFmtId="0" fontId="2" fillId="0" borderId="26" xfId="0" applyFont="1" applyBorder="1" applyAlignment="1">
      <alignment horizontal="right"/>
    </xf>
    <xf numFmtId="0" fontId="4" fillId="0" borderId="21" xfId="0" applyFont="1" applyBorder="1" applyAlignment="1">
      <alignment horizontal="right"/>
    </xf>
    <xf numFmtId="44" fontId="3" fillId="0" borderId="0" xfId="0" applyNumberFormat="1" applyFont="1"/>
    <xf numFmtId="0" fontId="30" fillId="0" borderId="0" xfId="0" applyFont="1" applyFill="1" applyAlignment="1">
      <alignment wrapText="1"/>
    </xf>
    <xf numFmtId="0" fontId="30" fillId="0" borderId="0" xfId="0" applyFont="1" applyAlignment="1">
      <alignment wrapText="1"/>
    </xf>
    <xf numFmtId="0" fontId="30" fillId="0" borderId="0" xfId="0" applyFont="1" applyFill="1" applyAlignment="1"/>
    <xf numFmtId="180" fontId="30" fillId="0" borderId="0" xfId="3" applyNumberFormat="1" applyFont="1" applyFill="1" applyAlignment="1">
      <alignment horizontal="right"/>
    </xf>
    <xf numFmtId="180" fontId="30" fillId="0" borderId="0" xfId="0" applyNumberFormat="1" applyFont="1" applyFill="1" applyAlignment="1"/>
    <xf numFmtId="180" fontId="30" fillId="0" borderId="0" xfId="0" applyNumberFormat="1" applyFont="1"/>
    <xf numFmtId="44" fontId="16" fillId="0" borderId="10" xfId="0" applyNumberFormat="1" applyFont="1" applyBorder="1"/>
    <xf numFmtId="0" fontId="19" fillId="0" borderId="0" xfId="0" applyFont="1" applyFill="1" applyBorder="1" applyAlignment="1">
      <alignment horizontal="left" vertical="center"/>
    </xf>
    <xf numFmtId="0" fontId="19" fillId="0" borderId="0" xfId="0" applyFont="1" applyFill="1" applyAlignment="1" applyProtection="1">
      <alignment horizontal="center" vertical="center"/>
    </xf>
    <xf numFmtId="0" fontId="19" fillId="0" borderId="102" xfId="0" applyFont="1" applyFill="1" applyBorder="1" applyAlignment="1" applyProtection="1">
      <alignment horizontal="center" vertical="center"/>
    </xf>
    <xf numFmtId="0" fontId="4" fillId="0" borderId="0" xfId="0" applyFont="1" applyFill="1" applyAlignment="1" applyProtection="1">
      <alignment horizontal="center" vertical="center"/>
    </xf>
    <xf numFmtId="1" fontId="9" fillId="0" borderId="0" xfId="0" applyNumberFormat="1" applyFont="1" applyFill="1" applyAlignment="1" applyProtection="1">
      <alignment horizontal="center" vertical="center"/>
    </xf>
    <xf numFmtId="0" fontId="2" fillId="0" borderId="9" xfId="0" applyFont="1" applyFill="1" applyBorder="1" applyAlignment="1">
      <alignment horizontal="center" vertical="center"/>
    </xf>
    <xf numFmtId="0" fontId="30" fillId="0" borderId="0" xfId="0" applyFont="1" applyAlignment="1">
      <alignment horizontal="right"/>
    </xf>
    <xf numFmtId="0" fontId="30" fillId="0" borderId="0" xfId="0" applyFont="1" applyFill="1" applyAlignment="1">
      <alignment wrapText="1"/>
    </xf>
    <xf numFmtId="0" fontId="30" fillId="0" borderId="0" xfId="0" applyFont="1" applyAlignment="1">
      <alignment wrapText="1"/>
    </xf>
    <xf numFmtId="0" fontId="30" fillId="0" borderId="0" xfId="0" applyFont="1" applyFill="1" applyAlignment="1">
      <alignment horizontal="right"/>
    </xf>
    <xf numFmtId="0" fontId="32" fillId="0" borderId="0" xfId="0" applyFont="1" applyAlignment="1">
      <alignment horizontal="center"/>
    </xf>
    <xf numFmtId="0" fontId="32" fillId="0" borderId="0" xfId="0" applyFont="1" applyFill="1" applyAlignment="1">
      <alignment horizontal="center" vertical="center"/>
    </xf>
    <xf numFmtId="0" fontId="52" fillId="0" borderId="0" xfId="0" applyFont="1" applyFill="1" applyAlignment="1" applyProtection="1">
      <alignment horizontal="center" vertical="center"/>
    </xf>
    <xf numFmtId="12" fontId="28" fillId="0" borderId="30" xfId="3" applyNumberFormat="1" applyFont="1" applyFill="1" applyBorder="1" applyAlignment="1">
      <alignment horizontal="center" wrapText="1"/>
    </xf>
    <xf numFmtId="12" fontId="28" fillId="0" borderId="1" xfId="3" applyNumberFormat="1" applyFont="1" applyFill="1" applyBorder="1" applyAlignment="1">
      <alignment horizontal="center" wrapText="1"/>
    </xf>
    <xf numFmtId="0" fontId="4" fillId="0" borderId="1" xfId="0" applyFont="1" applyFill="1" applyBorder="1" applyAlignment="1">
      <alignment wrapText="1"/>
    </xf>
    <xf numFmtId="0" fontId="4" fillId="0" borderId="31" xfId="0" applyFont="1" applyFill="1" applyBorder="1" applyAlignment="1">
      <alignment wrapText="1"/>
    </xf>
    <xf numFmtId="44" fontId="28" fillId="0" borderId="30" xfId="3" applyFont="1" applyFill="1" applyBorder="1" applyAlignment="1">
      <alignment horizontal="center" wrapText="1"/>
    </xf>
    <xf numFmtId="44" fontId="28" fillId="0" borderId="1" xfId="3" applyFont="1" applyFill="1" applyBorder="1" applyAlignment="1">
      <alignment horizontal="center" wrapText="1"/>
    </xf>
    <xf numFmtId="0" fontId="4" fillId="0" borderId="1" xfId="0" applyFont="1" applyFill="1" applyBorder="1" applyAlignment="1">
      <alignment horizontal="center" wrapText="1"/>
    </xf>
    <xf numFmtId="0" fontId="4" fillId="0" borderId="31" xfId="0" applyFont="1" applyFill="1" applyBorder="1" applyAlignment="1">
      <alignment horizontal="center" wrapText="1"/>
    </xf>
    <xf numFmtId="0" fontId="0" fillId="0" borderId="1" xfId="0" applyFill="1" applyBorder="1" applyAlignment="1">
      <alignment wrapText="1"/>
    </xf>
    <xf numFmtId="0" fontId="0" fillId="0" borderId="31" xfId="0" applyFill="1" applyBorder="1" applyAlignment="1">
      <alignment wrapText="1"/>
    </xf>
    <xf numFmtId="0" fontId="27" fillId="0" borderId="0" xfId="0" applyFont="1" applyAlignment="1">
      <alignment horizontal="center"/>
    </xf>
    <xf numFmtId="0" fontId="0" fillId="0" borderId="0" xfId="0" applyFont="1" applyAlignment="1">
      <alignment horizontal="center"/>
    </xf>
    <xf numFmtId="0" fontId="2" fillId="0" borderId="0" xfId="0" applyFont="1" applyAlignment="1">
      <alignment wrapText="1"/>
    </xf>
    <xf numFmtId="2" fontId="30" fillId="0" borderId="0" xfId="5" applyNumberFormat="1" applyFont="1" applyAlignment="1">
      <alignment horizontal="left" vertical="top" wrapText="1"/>
    </xf>
    <xf numFmtId="0" fontId="0" fillId="0" borderId="50" xfId="0" applyBorder="1" applyAlignment="1">
      <alignment horizontal="left" vertical="top" wrapText="1"/>
    </xf>
    <xf numFmtId="49" fontId="28" fillId="0" borderId="29" xfId="0" applyNumberFormat="1"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center"/>
    </xf>
    <xf numFmtId="0" fontId="4" fillId="0" borderId="2" xfId="0" applyFont="1" applyBorder="1" applyAlignment="1"/>
    <xf numFmtId="0" fontId="4" fillId="0" borderId="19" xfId="0" applyFont="1" applyBorder="1" applyAlignment="1"/>
    <xf numFmtId="0" fontId="0" fillId="0" borderId="2" xfId="0" applyBorder="1" applyAlignment="1">
      <alignment horizontal="center"/>
    </xf>
    <xf numFmtId="0" fontId="0" fillId="0" borderId="19" xfId="0" applyBorder="1" applyAlignment="1">
      <alignment horizontal="center"/>
    </xf>
    <xf numFmtId="0" fontId="15" fillId="0" borderId="29" xfId="0" applyFont="1" applyBorder="1" applyAlignment="1">
      <alignment horizontal="center"/>
    </xf>
    <xf numFmtId="0" fontId="0" fillId="0" borderId="2" xfId="0" applyBorder="1" applyAlignment="1"/>
    <xf numFmtId="0" fontId="0" fillId="0" borderId="19" xfId="0" applyBorder="1" applyAlignment="1"/>
    <xf numFmtId="49" fontId="28" fillId="0" borderId="29" xfId="0" applyNumberFormat="1" applyFont="1" applyFill="1" applyBorder="1" applyAlignment="1">
      <alignment horizontal="center"/>
    </xf>
    <xf numFmtId="0" fontId="0" fillId="0" borderId="2" xfId="0" applyFill="1" applyBorder="1" applyAlignment="1">
      <alignment horizontal="center"/>
    </xf>
    <xf numFmtId="0" fontId="0" fillId="0" borderId="19" xfId="0" applyFill="1" applyBorder="1" applyAlignment="1">
      <alignment horizontal="center"/>
    </xf>
    <xf numFmtId="0" fontId="87" fillId="0" borderId="24" xfId="0" applyFont="1" applyBorder="1" applyAlignment="1">
      <alignment vertical="center" wrapText="1"/>
    </xf>
    <xf numFmtId="0" fontId="0" fillId="0" borderId="25" xfId="0" applyBorder="1" applyAlignment="1">
      <alignment wrapText="1"/>
    </xf>
    <xf numFmtId="0" fontId="0" fillId="0" borderId="26" xfId="0" applyBorder="1" applyAlignment="1">
      <alignment wrapText="1"/>
    </xf>
    <xf numFmtId="0" fontId="39" fillId="0" borderId="2" xfId="0" applyFont="1" applyBorder="1" applyAlignment="1">
      <alignment horizontal="center"/>
    </xf>
    <xf numFmtId="0" fontId="39" fillId="0" borderId="19" xfId="0" applyFont="1" applyBorder="1" applyAlignment="1">
      <alignment horizontal="center"/>
    </xf>
    <xf numFmtId="0" fontId="4" fillId="2" borderId="25" xfId="0" applyFont="1" applyFill="1" applyBorder="1" applyAlignment="1">
      <alignment horizontal="left" wrapText="1"/>
    </xf>
    <xf numFmtId="0" fontId="4" fillId="0" borderId="25" xfId="0" applyFont="1" applyBorder="1" applyAlignment="1">
      <alignment horizontal="left" wrapText="1"/>
    </xf>
  </cellXfs>
  <cellStyles count="12">
    <cellStyle name="Comma" xfId="4" builtinId="3"/>
    <cellStyle name="Comma 2" xfId="7" xr:uid="{00000000-0005-0000-0000-000001000000}"/>
    <cellStyle name="Currency" xfId="3" builtinId="4"/>
    <cellStyle name="Currency 2" xfId="9" xr:uid="{00000000-0005-0000-0000-000003000000}"/>
    <cellStyle name="Hyperlink" xfId="10" builtinId="8"/>
    <cellStyle name="Normal" xfId="0" builtinId="0"/>
    <cellStyle name="Normal 2" xfId="2" xr:uid="{00000000-0005-0000-0000-000006000000}"/>
    <cellStyle name="Normal 3" xfId="11" xr:uid="{00000000-0005-0000-0000-000007000000}"/>
    <cellStyle name="Normal_sal0102correct" xfId="5" xr:uid="{00000000-0005-0000-0000-000008000000}"/>
    <cellStyle name="Normal_Sheet1" xfId="6" xr:uid="{00000000-0005-0000-0000-000009000000}"/>
    <cellStyle name="Percent" xfId="1" builtinId="5"/>
    <cellStyle name="Percent 2" xfId="8" xr:uid="{00000000-0005-0000-0000-00000B000000}"/>
  </cellStyles>
  <dxfs count="27">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
      <font>
        <condense val="0"/>
        <extend val="0"/>
        <color auto="1"/>
      </font>
      <fill>
        <patternFill>
          <bgColor indexed="26"/>
        </patternFill>
      </fill>
    </dxf>
    <dxf>
      <font>
        <condense val="0"/>
        <extend val="0"/>
        <color auto="1"/>
      </font>
      <fill>
        <patternFill patternType="solid">
          <bgColor indexed="26"/>
        </patternFill>
      </fill>
      <border>
        <left/>
        <right/>
        <top/>
        <bottom style="thin">
          <color indexed="22"/>
        </bottom>
      </border>
    </dxf>
    <dxf>
      <font>
        <condense val="0"/>
        <extend val="0"/>
        <color indexed="9"/>
      </font>
      <fill>
        <patternFill patternType="solid">
          <bgColor indexed="9"/>
        </patternFill>
      </fill>
    </dxf>
  </dxfs>
  <tableStyles count="0" defaultTableStyle="TableStyleMedium2" defaultPivotStyle="PivotStyleLight16"/>
  <colors>
    <mruColors>
      <color rgb="FF99FF33"/>
      <color rgb="FFF2EC04"/>
      <color rgb="FFCCFFCC"/>
      <color rgb="FF9AF000"/>
      <color rgb="FFC0FF4F"/>
      <color rgb="FFFFFFCC"/>
      <color rgb="FFFF66FF"/>
      <color rgb="FFFF6600"/>
      <color rgb="FF4657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hyperlink" Target="https://data.bls.gov/timeseries/CUURN400SA0?amp;data_tool=XGtable&amp;output_view=data&amp;include_graphs=true" TargetMode="External"/></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428625</xdr:colOff>
      <xdr:row>48</xdr:row>
      <xdr:rowOff>104775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9525"/>
          <a:ext cx="10334625" cy="939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0"/>
            </a:spcAft>
          </a:pPr>
          <a:r>
            <a:rPr lang="en-US" sz="1100" b="1" u="sng">
              <a:effectLst/>
              <a:latin typeface="Arial" panose="020B0604020202020204" pitchFamily="34" charset="0"/>
              <a:ea typeface="Calibri" panose="020F0502020204030204" pitchFamily="34" charset="0"/>
              <a:cs typeface="Times New Roman" panose="02020603050405020304" pitchFamily="18" charset="0"/>
            </a:rPr>
            <a:t>Minutes</a:t>
          </a:r>
          <a:endParaRPr lang="en-US" sz="1100">
            <a:effectLst/>
            <a:latin typeface="Arial" panose="020B0604020202020204" pitchFamily="34" charset="0"/>
            <a:ea typeface="Calibri" panose="020F0502020204030204" pitchFamily="34" charset="0"/>
            <a:cs typeface="Times New Roman" panose="02020603050405020304" pitchFamily="18" charset="0"/>
          </a:endParaRPr>
        </a:p>
        <a:p>
          <a:pPr marL="0" marR="0" algn="ctr">
            <a:lnSpc>
              <a:spcPct val="115000"/>
            </a:lnSpc>
            <a:spcBef>
              <a:spcPts val="0"/>
            </a:spcBef>
            <a:spcAft>
              <a:spcPts val="0"/>
            </a:spcAft>
          </a:pPr>
          <a:r>
            <a:rPr lang="en-US" sz="1100" b="1" u="sng">
              <a:effectLst/>
              <a:latin typeface="Arial" panose="020B0604020202020204" pitchFamily="34" charset="0"/>
              <a:ea typeface="Calibri" panose="020F0502020204030204" pitchFamily="34" charset="0"/>
              <a:cs typeface="Times New Roman" panose="02020603050405020304" pitchFamily="18" charset="0"/>
            </a:rPr>
            <a:t>Fern Ridge Library District Budget Committee Meeting</a:t>
          </a:r>
          <a:endParaRPr lang="en-US" sz="1100">
            <a:effectLst/>
            <a:latin typeface="Arial" panose="020B0604020202020204" pitchFamily="34" charset="0"/>
            <a:ea typeface="Calibri" panose="020F0502020204030204" pitchFamily="34" charset="0"/>
            <a:cs typeface="Times New Roman" panose="02020603050405020304" pitchFamily="18" charset="0"/>
          </a:endParaRPr>
        </a:p>
        <a:p>
          <a:pPr marL="0" marR="0" algn="ctr">
            <a:lnSpc>
              <a:spcPct val="115000"/>
            </a:lnSpc>
            <a:spcBef>
              <a:spcPts val="0"/>
            </a:spcBef>
            <a:spcAft>
              <a:spcPts val="0"/>
            </a:spcAft>
          </a:pPr>
          <a:r>
            <a:rPr lang="en-US" sz="1100" b="1" u="sng">
              <a:effectLst/>
              <a:latin typeface="Arial" panose="020B0604020202020204" pitchFamily="34" charset="0"/>
              <a:ea typeface="Calibri" panose="020F0502020204030204" pitchFamily="34" charset="0"/>
              <a:cs typeface="Times New Roman" panose="02020603050405020304" pitchFamily="18" charset="0"/>
            </a:rPr>
            <a:t>Wednesday, May 17, 2023</a:t>
          </a:r>
          <a:endParaRPr lang="en-US" sz="1100">
            <a:effectLst/>
            <a:latin typeface="Arial" panose="020B0604020202020204" pitchFamily="34" charset="0"/>
            <a:ea typeface="Calibri" panose="020F0502020204030204" pitchFamily="34" charset="0"/>
            <a:cs typeface="Times New Roman" panose="02020603050405020304" pitchFamily="18" charset="0"/>
          </a:endParaRPr>
        </a:p>
        <a:p>
          <a:pPr marL="0" marR="0" algn="ctr">
            <a:lnSpc>
              <a:spcPct val="115000"/>
            </a:lnSpc>
            <a:spcBef>
              <a:spcPts val="0"/>
            </a:spcBef>
            <a:spcAft>
              <a:spcPts val="0"/>
            </a:spcAft>
          </a:pPr>
          <a:r>
            <a:rPr lang="en-US" sz="1100">
              <a:effectLst/>
              <a:latin typeface="Arial" panose="020B0604020202020204" pitchFamily="34" charset="0"/>
              <a:ea typeface="Calibri" panose="020F0502020204030204" pitchFamily="34" charset="0"/>
              <a:cs typeface="Times New Roman" panose="02020603050405020304" pitchFamily="18" charset="0"/>
            </a:rPr>
            <a:t> </a:t>
          </a:r>
        </a:p>
        <a:p>
          <a:pPr marL="0" marR="0" algn="ctr">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APPROVED </a:t>
          </a:r>
          <a:r>
            <a:rPr lang="en-US" sz="1100" b="1">
              <a:effectLst/>
              <a:highlight>
                <a:srgbClr val="FFFF00"/>
              </a:highlight>
              <a:latin typeface="Arial" panose="020B0604020202020204" pitchFamily="34" charset="0"/>
              <a:ea typeface="Calibri" panose="020F0502020204030204" pitchFamily="34" charset="0"/>
              <a:cs typeface="Times New Roman" panose="02020603050405020304" pitchFamily="18" charset="0"/>
            </a:rPr>
            <a:t>xxxxxx</a:t>
          </a:r>
          <a:endParaRPr lang="en-US" sz="1100">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Members Present:</a:t>
          </a:r>
          <a:r>
            <a:rPr lang="en-US" sz="1100">
              <a:effectLst/>
              <a:latin typeface="Arial" panose="020B0604020202020204" pitchFamily="34" charset="0"/>
              <a:ea typeface="Calibri" panose="020F0502020204030204" pitchFamily="34" charset="0"/>
              <a:cs typeface="Times New Roman" panose="02020603050405020304" pitchFamily="18" charset="0"/>
            </a:rPr>
            <a:t> Nate Bondurant, Erik Carlstrom, Martin Mead, Olivia Johnson, Steve Recca, Kelly Thompson, Robert Hladky. Jennifer Chambers, Via ZOOM: Jerri Moore  </a:t>
          </a:r>
        </a:p>
        <a:p>
          <a:pPr marL="0" marR="0">
            <a:lnSpc>
              <a:spcPct val="115000"/>
            </a:lnSpc>
            <a:spcBef>
              <a:spcPts val="0"/>
            </a:spcBef>
            <a:spcAft>
              <a:spcPts val="0"/>
            </a:spcAft>
          </a:pPr>
          <a:r>
            <a:rPr lang="en-US" sz="1100" b="1">
              <a:effectLst/>
              <a:latin typeface="Arial" panose="020B0604020202020204" pitchFamily="34" charset="0"/>
              <a:ea typeface="Calibri" panose="020F0502020204030204" pitchFamily="34" charset="0"/>
              <a:cs typeface="Times New Roman" panose="02020603050405020304" pitchFamily="18" charset="0"/>
            </a:rPr>
            <a:t>Members Excused</a:t>
          </a:r>
          <a:endParaRPr lang="en-US" sz="1100">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0"/>
            </a:spcAft>
          </a:pPr>
          <a:r>
            <a:rPr lang="en-US" sz="1100" b="1">
              <a:effectLst/>
              <a:latin typeface="Arial" panose="020B0604020202020204" pitchFamily="34" charset="0"/>
              <a:ea typeface="Calibri" panose="020F0502020204030204" pitchFamily="34" charset="0"/>
              <a:cs typeface="Times New Roman" panose="02020603050405020304" pitchFamily="18" charset="0"/>
            </a:rPr>
            <a:t>Staff: </a:t>
          </a:r>
          <a:r>
            <a:rPr lang="en-US" sz="1100">
              <a:effectLst/>
              <a:latin typeface="Arial" panose="020B0604020202020204" pitchFamily="34" charset="0"/>
              <a:ea typeface="Calibri" panose="020F0502020204030204" pitchFamily="34" charset="0"/>
              <a:cs typeface="Times New Roman" panose="02020603050405020304" pitchFamily="18" charset="0"/>
            </a:rPr>
            <a:t>Director Colin Rea, Business Manager &amp; Budget Officer Lesley Steppan	</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Patrons/Guests:</a:t>
          </a:r>
          <a:r>
            <a:rPr lang="en-US" sz="1100">
              <a:effectLst/>
              <a:latin typeface="Arial" panose="020B0604020202020204" pitchFamily="34" charset="0"/>
              <a:ea typeface="Calibri" panose="020F0502020204030204" pitchFamily="34" charset="0"/>
              <a:cs typeface="Times New Roman" panose="02020603050405020304" pitchFamily="18" charset="0"/>
            </a:rPr>
            <a:t>  Laura Blankenship							</a:t>
          </a:r>
        </a:p>
        <a:p>
          <a:pPr marL="0" marR="0">
            <a:lnSpc>
              <a:spcPct val="115000"/>
            </a:lnSpc>
            <a:spcBef>
              <a:spcPts val="0"/>
            </a:spcBef>
            <a:spcAft>
              <a:spcPts val="0"/>
            </a:spcAft>
          </a:pPr>
          <a:r>
            <a:rPr lang="en-US" sz="1100" b="1">
              <a:effectLst/>
              <a:latin typeface="Arial" panose="020B0604020202020204" pitchFamily="34" charset="0"/>
              <a:ea typeface="Calibri" panose="020F0502020204030204" pitchFamily="34" charset="0"/>
              <a:cs typeface="Times New Roman" panose="02020603050405020304" pitchFamily="18" charset="0"/>
            </a:rPr>
            <a:t>Call to Order:</a:t>
          </a:r>
          <a:r>
            <a:rPr lang="en-US" sz="1100">
              <a:effectLst/>
              <a:latin typeface="Arial" panose="020B0604020202020204" pitchFamily="34" charset="0"/>
              <a:ea typeface="Calibri" panose="020F0502020204030204" pitchFamily="34" charset="0"/>
              <a:cs typeface="Times New Roman" panose="02020603050405020304" pitchFamily="18" charset="0"/>
            </a:rPr>
            <a:t> The Committee Chair, Robert Hladky, called the meeting to order at 7:03 PM. The members introduced themselves to the committee.											</a:t>
          </a:r>
        </a:p>
        <a:p>
          <a:pPr marL="0" marR="0">
            <a:lnSpc>
              <a:spcPct val="115000"/>
            </a:lnSpc>
            <a:spcBef>
              <a:spcPts val="0"/>
            </a:spcBef>
            <a:spcAft>
              <a:spcPts val="0"/>
            </a:spcAft>
          </a:pPr>
          <a:r>
            <a:rPr lang="en-US" sz="1100" b="1">
              <a:effectLst/>
              <a:latin typeface="Arial" panose="020B0604020202020204" pitchFamily="34" charset="0"/>
              <a:ea typeface="Calibri" panose="020F0502020204030204" pitchFamily="34" charset="0"/>
              <a:cs typeface="Times New Roman" panose="02020603050405020304" pitchFamily="18" charset="0"/>
            </a:rPr>
            <a:t>Minutes</a:t>
          </a:r>
          <a:r>
            <a:rPr lang="en-US" sz="1100">
              <a:effectLst/>
              <a:latin typeface="Arial" panose="020B0604020202020204" pitchFamily="34" charset="0"/>
              <a:ea typeface="Calibri" panose="020F0502020204030204" pitchFamily="34" charset="0"/>
              <a:cs typeface="Times New Roman" panose="02020603050405020304" pitchFamily="18" charset="0"/>
            </a:rPr>
            <a:t>: The minutes of the May 18, 2022 meeting were approved as presented.								</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Election of Officers: Erik Carlstrom </a:t>
          </a:r>
          <a:r>
            <a:rPr lang="en-US" sz="1100">
              <a:effectLst/>
              <a:latin typeface="Arial" panose="020B0604020202020204" pitchFamily="34" charset="0"/>
              <a:ea typeface="Calibri" panose="020F0502020204030204" pitchFamily="34" charset="0"/>
              <a:cs typeface="Times New Roman" panose="02020603050405020304" pitchFamily="18" charset="0"/>
            </a:rPr>
            <a:t>nominated </a:t>
          </a:r>
          <a:r>
            <a:rPr lang="en-US" sz="1100" b="1">
              <a:effectLst/>
              <a:latin typeface="Arial" panose="020B0604020202020204" pitchFamily="34" charset="0"/>
              <a:ea typeface="Calibri" panose="020F0502020204030204" pitchFamily="34" charset="0"/>
              <a:cs typeface="Times New Roman" panose="02020603050405020304" pitchFamily="18" charset="0"/>
            </a:rPr>
            <a:t>Jennifer Chambers</a:t>
          </a:r>
          <a:r>
            <a:rPr lang="en-US" sz="1100">
              <a:effectLst/>
              <a:latin typeface="Arial" panose="020B0604020202020204" pitchFamily="34" charset="0"/>
              <a:ea typeface="Calibri" panose="020F0502020204030204" pitchFamily="34" charset="0"/>
              <a:cs typeface="Times New Roman" panose="02020603050405020304" pitchFamily="18" charset="0"/>
            </a:rPr>
            <a:t> to serve as chair of the Budget Committee; </a:t>
          </a:r>
          <a:r>
            <a:rPr lang="en-US" sz="1100" b="1">
              <a:effectLst/>
              <a:latin typeface="Arial" panose="020B0604020202020204" pitchFamily="34" charset="0"/>
              <a:ea typeface="Calibri" panose="020F0502020204030204" pitchFamily="34" charset="0"/>
              <a:cs typeface="Times New Roman" panose="02020603050405020304" pitchFamily="18" charset="0"/>
            </a:rPr>
            <a:t>Olivia Johnson</a:t>
          </a:r>
          <a:r>
            <a:rPr lang="en-US" sz="1100">
              <a:effectLst/>
              <a:latin typeface="Arial" panose="020B0604020202020204" pitchFamily="34" charset="0"/>
              <a:ea typeface="Calibri" panose="020F0502020204030204" pitchFamily="34" charset="0"/>
              <a:cs typeface="Times New Roman" panose="02020603050405020304" pitchFamily="18" charset="0"/>
            </a:rPr>
            <a:t> seconded the nomination.  In the absence of other nominations the chair declared </a:t>
          </a:r>
          <a:r>
            <a:rPr lang="en-US" sz="1100" b="1">
              <a:effectLst/>
              <a:latin typeface="Arial" panose="020B0604020202020204" pitchFamily="34" charset="0"/>
              <a:ea typeface="Calibri" panose="020F0502020204030204" pitchFamily="34" charset="0"/>
              <a:cs typeface="Times New Roman" panose="02020603050405020304" pitchFamily="18" charset="0"/>
            </a:rPr>
            <a:t>Jennifer Chambers</a:t>
          </a:r>
          <a:r>
            <a:rPr lang="en-US" sz="1100">
              <a:effectLst/>
              <a:latin typeface="Arial" panose="020B0604020202020204" pitchFamily="34" charset="0"/>
              <a:ea typeface="Calibri" panose="020F0502020204030204" pitchFamily="34" charset="0"/>
              <a:cs typeface="Times New Roman" panose="02020603050405020304" pitchFamily="18" charset="0"/>
            </a:rPr>
            <a:t> elected by unanimous ballot</a:t>
          </a:r>
          <a:r>
            <a:rPr lang="en-US" sz="1100" b="1">
              <a:effectLst/>
              <a:latin typeface="Arial" panose="020B0604020202020204" pitchFamily="34" charset="0"/>
              <a:ea typeface="Calibri" panose="020F0502020204030204" pitchFamily="34" charset="0"/>
              <a:cs typeface="Times New Roman" panose="02020603050405020304" pitchFamily="18" charset="0"/>
            </a:rPr>
            <a:t>. Jerri Moore</a:t>
          </a:r>
          <a:r>
            <a:rPr lang="en-US" sz="1100">
              <a:effectLst/>
              <a:latin typeface="Arial" panose="020B0604020202020204" pitchFamily="34" charset="0"/>
              <a:ea typeface="Calibri" panose="020F0502020204030204" pitchFamily="34" charset="0"/>
              <a:cs typeface="Times New Roman" panose="02020603050405020304" pitchFamily="18" charset="0"/>
            </a:rPr>
            <a:t> nominated </a:t>
          </a:r>
          <a:r>
            <a:rPr lang="en-US" sz="1100" b="1">
              <a:effectLst/>
              <a:latin typeface="Arial" panose="020B0604020202020204" pitchFamily="34" charset="0"/>
              <a:ea typeface="Calibri" panose="020F0502020204030204" pitchFamily="34" charset="0"/>
              <a:cs typeface="Times New Roman" panose="02020603050405020304" pitchFamily="18" charset="0"/>
            </a:rPr>
            <a:t>Olivia Johnson</a:t>
          </a:r>
          <a:r>
            <a:rPr lang="en-US" sz="1100">
              <a:effectLst/>
              <a:latin typeface="Arial" panose="020B0604020202020204" pitchFamily="34" charset="0"/>
              <a:ea typeface="Calibri" panose="020F0502020204030204" pitchFamily="34" charset="0"/>
              <a:cs typeface="Times New Roman" panose="02020603050405020304" pitchFamily="18" charset="0"/>
            </a:rPr>
            <a:t> as secretary of the Budget Committee. </a:t>
          </a:r>
          <a:r>
            <a:rPr lang="en-US" sz="1100" b="1">
              <a:effectLst/>
              <a:latin typeface="Arial" panose="020B0604020202020204" pitchFamily="34" charset="0"/>
              <a:ea typeface="Calibri" panose="020F0502020204030204" pitchFamily="34" charset="0"/>
              <a:cs typeface="Times New Roman" panose="02020603050405020304" pitchFamily="18" charset="0"/>
            </a:rPr>
            <a:t>Robert Hladky</a:t>
          </a:r>
          <a:r>
            <a:rPr lang="en-US" sz="1100">
              <a:effectLst/>
              <a:latin typeface="Arial" panose="020B0604020202020204" pitchFamily="34" charset="0"/>
              <a:ea typeface="Calibri" panose="020F0502020204030204" pitchFamily="34" charset="0"/>
              <a:cs typeface="Times New Roman" panose="02020603050405020304" pitchFamily="18" charset="0"/>
            </a:rPr>
            <a:t> seconded the nomination. In the absence of other nominations the chair declared </a:t>
          </a:r>
          <a:r>
            <a:rPr lang="en-US" sz="1100" b="1">
              <a:effectLst/>
              <a:latin typeface="Arial" panose="020B0604020202020204" pitchFamily="34" charset="0"/>
              <a:ea typeface="Calibri" panose="020F0502020204030204" pitchFamily="34" charset="0"/>
              <a:cs typeface="Times New Roman" panose="02020603050405020304" pitchFamily="18" charset="0"/>
            </a:rPr>
            <a:t>Olivia Johnson</a:t>
          </a:r>
          <a:r>
            <a:rPr lang="en-US" sz="1100">
              <a:effectLst/>
              <a:latin typeface="Arial" panose="020B0604020202020204" pitchFamily="34" charset="0"/>
              <a:ea typeface="Calibri" panose="020F0502020204030204" pitchFamily="34" charset="0"/>
              <a:cs typeface="Times New Roman" panose="02020603050405020304" pitchFamily="18" charset="0"/>
            </a:rPr>
            <a:t> elected by unanimous ballot.  </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Budget Message:</a:t>
          </a:r>
          <a:r>
            <a:rPr lang="en-US" sz="1100">
              <a:effectLst/>
              <a:latin typeface="Arial" panose="020B0604020202020204" pitchFamily="34" charset="0"/>
              <a:ea typeface="Calibri" panose="020F0502020204030204" pitchFamily="34" charset="0"/>
              <a:cs typeface="Times New Roman" panose="02020603050405020304" pitchFamily="18" charset="0"/>
            </a:rPr>
            <a:t>    Budget Officer Lesley Steppan read the budget message.		</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Budget Consideration:</a:t>
          </a:r>
          <a:r>
            <a:rPr lang="en-US" sz="1100">
              <a:effectLst/>
              <a:latin typeface="Arial" panose="020B0604020202020204" pitchFamily="34" charset="0"/>
              <a:ea typeface="Calibri" panose="020F0502020204030204" pitchFamily="34" charset="0"/>
              <a:cs typeface="Times New Roman" panose="02020603050405020304" pitchFamily="18" charset="0"/>
            </a:rPr>
            <a:t>  The committee reviewed the FY2023-2024 General Fund budget proposal. </a:t>
          </a:r>
          <a:r>
            <a:rPr lang="en-US" sz="1100" b="1">
              <a:effectLst/>
              <a:latin typeface="Arial" panose="020B0604020202020204" pitchFamily="34" charset="0"/>
              <a:ea typeface="Calibri" panose="020F0502020204030204" pitchFamily="34" charset="0"/>
              <a:cs typeface="Times New Roman" panose="02020603050405020304" pitchFamily="18" charset="0"/>
            </a:rPr>
            <a:t>Jerri Moore </a:t>
          </a:r>
          <a:r>
            <a:rPr lang="en-US" sz="1100">
              <a:effectLst/>
              <a:latin typeface="Arial" panose="020B0604020202020204" pitchFamily="34" charset="0"/>
              <a:ea typeface="Calibri" panose="020F0502020204030204" pitchFamily="34" charset="0"/>
              <a:cs typeface="Times New Roman" panose="02020603050405020304" pitchFamily="18" charset="0"/>
            </a:rPr>
            <a:t>proposed adding $50,000 to Transfers to Reserve Fund. After discussion, this was approved. </a:t>
          </a:r>
        </a:p>
        <a:p>
          <a:pPr marL="0" marR="0">
            <a:lnSpc>
              <a:spcPct val="115000"/>
            </a:lnSpc>
            <a:spcBef>
              <a:spcPts val="0"/>
            </a:spcBef>
            <a:spcAft>
              <a:spcPts val="1000"/>
            </a:spcAft>
          </a:pPr>
          <a:r>
            <a:rPr lang="en-US" sz="1100">
              <a:effectLst/>
              <a:latin typeface="Arial" panose="020B0604020202020204" pitchFamily="34" charset="0"/>
              <a:ea typeface="Calibri" panose="020F0502020204030204" pitchFamily="34" charset="0"/>
              <a:cs typeface="Times New Roman" panose="02020603050405020304" pitchFamily="18" charset="0"/>
            </a:rPr>
            <a:t>Deliberation continued with the Reserve Fund budget proposal for FY2023-2024. </a:t>
          </a:r>
        </a:p>
        <a:p>
          <a:pPr marL="0" marR="0">
            <a:lnSpc>
              <a:spcPct val="115000"/>
            </a:lnSpc>
            <a:spcBef>
              <a:spcPts val="0"/>
            </a:spcBef>
            <a:spcAft>
              <a:spcPts val="1000"/>
            </a:spcAft>
          </a:pPr>
          <a:r>
            <a:rPr lang="en-US" sz="1100">
              <a:effectLst/>
              <a:latin typeface="Arial" panose="020B0604020202020204" pitchFamily="34" charset="0"/>
              <a:ea typeface="Calibri" panose="020F0502020204030204" pitchFamily="34" charset="0"/>
              <a:cs typeface="Times New Roman" panose="02020603050405020304" pitchFamily="18" charset="0"/>
            </a:rPr>
            <a:t>The new Special Revenue Fund was explained and discussed. The budget was approved as presented.</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Motions:</a:t>
          </a:r>
          <a:r>
            <a:rPr lang="en-US" sz="1100">
              <a:effectLst/>
              <a:latin typeface="Arial" panose="020B0604020202020204" pitchFamily="34" charset="0"/>
              <a:ea typeface="Calibri" panose="020F0502020204030204" pitchFamily="34" charset="0"/>
              <a:cs typeface="Times New Roman" panose="02020603050405020304" pitchFamily="18" charset="0"/>
            </a:rPr>
            <a:t> </a:t>
          </a:r>
          <a:r>
            <a:rPr lang="en-US" sz="1100" b="1">
              <a:effectLst/>
              <a:latin typeface="Arial" panose="020B0604020202020204" pitchFamily="34" charset="0"/>
              <a:ea typeface="Calibri" panose="020F0502020204030204" pitchFamily="34" charset="0"/>
              <a:cs typeface="Times New Roman" panose="02020603050405020304" pitchFamily="18" charset="0"/>
            </a:rPr>
            <a:t>Steve Recca</a:t>
          </a:r>
          <a:r>
            <a:rPr lang="en-US" sz="1100">
              <a:effectLst/>
              <a:latin typeface="Arial" panose="020B0604020202020204" pitchFamily="34" charset="0"/>
              <a:ea typeface="Calibri" panose="020F0502020204030204" pitchFamily="34" charset="0"/>
              <a:cs typeface="Times New Roman" panose="02020603050405020304" pitchFamily="18" charset="0"/>
            </a:rPr>
            <a:t> moved to approve the General Fund and Reserve Fund as amended.</a:t>
          </a:r>
          <a:r>
            <a:rPr lang="en-US" sz="1100" b="1">
              <a:effectLst/>
              <a:latin typeface="Arial" panose="020B0604020202020204" pitchFamily="34" charset="0"/>
              <a:ea typeface="Calibri" panose="020F0502020204030204" pitchFamily="34" charset="0"/>
              <a:cs typeface="Times New Roman" panose="02020603050405020304" pitchFamily="18" charset="0"/>
            </a:rPr>
            <a:t> Erik Carlstrom </a:t>
          </a:r>
          <a:r>
            <a:rPr lang="en-US" sz="1100">
              <a:effectLst/>
              <a:latin typeface="Arial" panose="020B0604020202020204" pitchFamily="34" charset="0"/>
              <a:ea typeface="Calibri" panose="020F0502020204030204" pitchFamily="34" charset="0"/>
              <a:cs typeface="Times New Roman" panose="02020603050405020304" pitchFamily="18" charset="0"/>
            </a:rPr>
            <a:t>seconded, with the motion passing unanimously.</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Patrons:</a:t>
          </a:r>
          <a:r>
            <a:rPr lang="en-US" sz="1100">
              <a:effectLst/>
              <a:latin typeface="Arial" panose="020B0604020202020204" pitchFamily="34" charset="0"/>
              <a:ea typeface="Calibri" panose="020F0502020204030204" pitchFamily="34" charset="0"/>
              <a:cs typeface="Times New Roman" panose="02020603050405020304" pitchFamily="18" charset="0"/>
            </a:rPr>
            <a:t>         None present							</a:t>
          </a:r>
        </a:p>
        <a:p>
          <a:pPr marL="0" marR="0">
            <a:lnSpc>
              <a:spcPct val="115000"/>
            </a:lnSpc>
            <a:spcBef>
              <a:spcPts val="0"/>
            </a:spcBef>
            <a:spcAft>
              <a:spcPts val="1000"/>
            </a:spcAft>
          </a:pPr>
          <a:r>
            <a:rPr lang="en-US" sz="1100" b="1">
              <a:effectLst/>
              <a:latin typeface="Arial" panose="020B0604020202020204" pitchFamily="34" charset="0"/>
              <a:ea typeface="Calibri" panose="020F0502020204030204" pitchFamily="34" charset="0"/>
              <a:cs typeface="Times New Roman" panose="02020603050405020304" pitchFamily="18" charset="0"/>
            </a:rPr>
            <a:t>Adjournment:  The meeting was adjourned at 7:52 PM.</a:t>
          </a:r>
          <a:r>
            <a:rPr lang="en-US" sz="1100">
              <a:effectLst/>
              <a:latin typeface="Arial" panose="020B0604020202020204" pitchFamily="34" charset="0"/>
              <a:ea typeface="Calibri" panose="020F0502020204030204" pitchFamily="34" charset="0"/>
              <a:cs typeface="Times New Roman" panose="02020603050405020304" pitchFamily="18" charset="0"/>
            </a:rPr>
            <a:t>							</a:t>
          </a:r>
        </a:p>
        <a:p>
          <a:pPr marL="0" marR="0">
            <a:lnSpc>
              <a:spcPct val="115000"/>
            </a:lnSpc>
            <a:spcBef>
              <a:spcPts val="0"/>
            </a:spcBef>
            <a:spcAft>
              <a:spcPts val="0"/>
            </a:spcAft>
          </a:pPr>
          <a:r>
            <a:rPr lang="en-US" sz="1100">
              <a:effectLst/>
              <a:latin typeface="Arial" panose="020B0604020202020204" pitchFamily="34" charset="0"/>
              <a:ea typeface="Calibri" panose="020F0502020204030204" pitchFamily="34" charset="0"/>
              <a:cs typeface="Times New Roman" panose="02020603050405020304" pitchFamily="18" charset="0"/>
            </a:rPr>
            <a:t>Respectfully submitted,							</a:t>
          </a:r>
        </a:p>
        <a:p>
          <a:pPr marL="0" marR="0">
            <a:lnSpc>
              <a:spcPct val="115000"/>
            </a:lnSpc>
            <a:spcBef>
              <a:spcPts val="0"/>
            </a:spcBef>
            <a:spcAft>
              <a:spcPts val="0"/>
            </a:spcAft>
          </a:pPr>
          <a:r>
            <a:rPr lang="en-US" sz="1100">
              <a:effectLst/>
              <a:latin typeface="Arial" panose="020B0604020202020204" pitchFamily="34" charset="0"/>
              <a:ea typeface="Calibri" panose="020F0502020204030204" pitchFamily="34" charset="0"/>
              <a:cs typeface="Times New Roman" panose="02020603050405020304" pitchFamily="18" charset="0"/>
            </a:rPr>
            <a:t>Lesley Steppan, Budget Officer	</a:t>
          </a:r>
        </a:p>
        <a:p>
          <a:pPr marL="0" marR="0">
            <a:lnSpc>
              <a:spcPct val="115000"/>
            </a:lnSpc>
            <a:spcBef>
              <a:spcPts val="0"/>
            </a:spcBef>
            <a:spcAft>
              <a:spcPts val="0"/>
            </a:spcAft>
          </a:pPr>
          <a:r>
            <a:rPr lang="en-US" sz="1100">
              <a:effectLst/>
              <a:latin typeface="Arial" panose="020B0604020202020204" pitchFamily="34" charset="0"/>
              <a:ea typeface="Calibri" panose="020F0502020204030204" pitchFamily="34" charset="0"/>
              <a:cs typeface="Times New Roman" panose="02020603050405020304" pitchFamily="18" charset="0"/>
            </a:rPr>
            <a:t>Olivia Johnson, Budget Committee Secretary			</a:t>
          </a:r>
        </a:p>
        <a:p>
          <a:endParaRPr lang="en-US" sz="1100"/>
        </a:p>
      </xdr:txBody>
    </xdr:sp>
    <xdr:clientData/>
  </xdr:twoCellAnchor>
  <xdr:oneCellAnchor>
    <xdr:from>
      <xdr:col>12</xdr:col>
      <xdr:colOff>219075</xdr:colOff>
      <xdr:row>20</xdr:row>
      <xdr:rowOff>9525</xdr:rowOff>
    </xdr:from>
    <xdr:ext cx="184731" cy="264560"/>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9363075" y="397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323850</xdr:colOff>
          <xdr:row>2</xdr:row>
          <xdr:rowOff>19050</xdr:rowOff>
        </xdr:to>
        <xdr:sp macro="" textlink="">
          <xdr:nvSpPr>
            <xdr:cNvPr id="1025" name="FILTER"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323850</xdr:colOff>
          <xdr:row>2</xdr:row>
          <xdr:rowOff>19050</xdr:rowOff>
        </xdr:to>
        <xdr:sp macro="" textlink="">
          <xdr:nvSpPr>
            <xdr:cNvPr id="1026" name="HEADER"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149</xdr:row>
      <xdr:rowOff>0</xdr:rowOff>
    </xdr:from>
    <xdr:to>
      <xdr:col>1</xdr:col>
      <xdr:colOff>190500</xdr:colOff>
      <xdr:row>149</xdr:row>
      <xdr:rowOff>152400</xdr:rowOff>
    </xdr:to>
    <xdr:sp macro="" textlink="">
      <xdr:nvSpPr>
        <xdr:cNvPr id="2" name="AutoShape 13" descr="Go to web page with historical data for series CUURN400SA0">
          <a:hlinkClick xmlns:r="http://schemas.openxmlformats.org/officeDocument/2006/relationships" r:id="rId1" tgtFrame="_blank"/>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1990725" y="19935825"/>
          <a:ext cx="1905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0</xdr:row>
      <xdr:rowOff>0</xdr:rowOff>
    </xdr:from>
    <xdr:to>
      <xdr:col>16</xdr:col>
      <xdr:colOff>190500</xdr:colOff>
      <xdr:row>0</xdr:row>
      <xdr:rowOff>152400</xdr:rowOff>
    </xdr:to>
    <xdr:sp macro="" textlink="">
      <xdr:nvSpPr>
        <xdr:cNvPr id="6" name="AutoShape 5" descr="Go to web page with historical data for series CUURN400SA0">
          <a:hlinkClick xmlns:r="http://schemas.openxmlformats.org/officeDocument/2006/relationships" r:id="rId1" tgtFrame="_blank"/>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5392400" y="0"/>
          <a:ext cx="1905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115</xdr:row>
      <xdr:rowOff>0</xdr:rowOff>
    </xdr:from>
    <xdr:to>
      <xdr:col>1</xdr:col>
      <xdr:colOff>190500</xdr:colOff>
      <xdr:row>115</xdr:row>
      <xdr:rowOff>152400</xdr:rowOff>
    </xdr:to>
    <xdr:sp macro="" textlink="">
      <xdr:nvSpPr>
        <xdr:cNvPr id="7" name="AutoShape 13" descr="Go to web page with historical data for series CUURN400SA0">
          <a:hlinkClick xmlns:r="http://schemas.openxmlformats.org/officeDocument/2006/relationships" r:id="rId1" tgtFrame="_blank"/>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1809750" y="17221200"/>
          <a:ext cx="1905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115</xdr:row>
      <xdr:rowOff>0</xdr:rowOff>
    </xdr:from>
    <xdr:to>
      <xdr:col>1</xdr:col>
      <xdr:colOff>190500</xdr:colOff>
      <xdr:row>115</xdr:row>
      <xdr:rowOff>152400</xdr:rowOff>
    </xdr:to>
    <xdr:sp macro="" textlink="">
      <xdr:nvSpPr>
        <xdr:cNvPr id="8" name="AutoShape 13" descr="Go to web page with historical data for series CUURN400SA0">
          <a:hlinkClick xmlns:r="http://schemas.openxmlformats.org/officeDocument/2006/relationships" r:id="rId1" tgtFrame="_blank"/>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1809750" y="17221200"/>
          <a:ext cx="1905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nancial\2023%20Fin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oore\Documents\Budget\2024-2025%20Budget\FY2024-2025%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Ally"/>
      <sheetName val="Vanguard"/>
      <sheetName val="Citi Savings"/>
      <sheetName val="Discover"/>
      <sheetName val="Selco"/>
      <sheetName val="Interest Earned"/>
      <sheetName val="Banner"/>
      <sheetName val="CC"/>
      <sheetName val="L"/>
      <sheetName val="T"/>
      <sheetName val="T Credit"/>
      <sheetName val="T Loan"/>
      <sheetName val="Houses"/>
      <sheetName val="Tony House"/>
      <sheetName val="2023 Tax"/>
      <sheetName val="2023 Medical"/>
      <sheetName val="Retirement"/>
      <sheetName val="Codes"/>
      <sheetName val="Annual Report"/>
      <sheetName val="Net Worth 2017-2022"/>
      <sheetName val="2022 Tax"/>
      <sheetName val="Fidelity"/>
      <sheetName val="T Credit 2022"/>
      <sheetName val="DLoan"/>
      <sheetName val="2023 Finance"/>
      <sheetName val="2024 Tax"/>
      <sheetName val="2024 Medical"/>
      <sheetName val="Sheet1"/>
    </sheetNames>
    <definedNames>
      <definedName name="Header_Row" refersTo="#REF!" sheetId="14"/>
      <definedName name="Header_Row" refersTo="#REF!"/>
      <definedName name="Number_of_Payments" refersTo="#REF!" sheetId="14"/>
      <definedName name="Values_Entered"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lution 24-x"/>
      <sheetName val="LB50"/>
      <sheetName val="LB1"/>
      <sheetName val="Budget Message"/>
      <sheetName val="General FY2024-25"/>
      <sheetName val="Reserve FY2024-25"/>
      <sheetName val="Special FY2024-25"/>
      <sheetName val="FY24-25 Worksheet"/>
      <sheetName val="Tax Revenue FY2024-25"/>
      <sheetName val="Personnel FY 24-25"/>
      <sheetName val="General FY2023-24"/>
      <sheetName val="Reserve FY2023-24"/>
      <sheetName val="Special FY2023-24"/>
      <sheetName val="Tax Revenue FY2023-24 "/>
      <sheetName val="Personnel FY 23-24"/>
      <sheetName val="General FY2022-23 "/>
      <sheetName val="Reserve FY2022-23 "/>
    </sheetNames>
    <sheetDataSet>
      <sheetData sheetId="0" refreshError="1"/>
      <sheetData sheetId="1" refreshError="1"/>
      <sheetData sheetId="2" refreshError="1"/>
      <sheetData sheetId="3" refreshError="1"/>
      <sheetData sheetId="4">
        <row r="2">
          <cell r="C2" t="str">
            <v>Fiscal Year 2024 - 2025 Budget</v>
          </cell>
        </row>
        <row r="4">
          <cell r="F4" t="str">
            <v>2024-2025</v>
          </cell>
        </row>
      </sheetData>
      <sheetData sheetId="5">
        <row r="11">
          <cell r="B11">
            <v>704386</v>
          </cell>
        </row>
      </sheetData>
      <sheetData sheetId="6">
        <row r="11">
          <cell r="G11">
            <v>7764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Lesley Steppan" id="{24904660-1377-439F-8D99-79E15050560C}" userId="S::lesley@fernridgelibrary.org::7fd57a98-3d3c-4042-975f-649af9da38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6" dT="2024-04-08T19:18:05.61" personId="{24904660-1377-439F-8D99-79E15050560C}" id="{1BB7AE55-6CE3-4553-A89B-61174062C8E5}">
    <text>Budget did not include the Liability carry over from previous years</text>
  </threadedComment>
  <threadedComment ref="I97" dT="2024-03-15T18:18:21.26" personId="{24904660-1377-439F-8D99-79E15050560C}" id="{76E2B41E-4B95-4582-B79F-7AB778D67991}">
    <text>Foundation for new front doors</text>
  </threadedComment>
</ThreadedComments>
</file>

<file path=xl/threadedComments/threadedComment2.xml><?xml version="1.0" encoding="utf-8"?>
<ThreadedComments xmlns="http://schemas.microsoft.com/office/spreadsheetml/2018/threadedcomments" xmlns:x="http://schemas.openxmlformats.org/spreadsheetml/2006/main">
  <threadedComment ref="M64" dT="2024-04-15T18:50:43.52" personId="{24904660-1377-439F-8D99-79E15050560C}" id="{11837BCD-B318-40F2-99DF-7CA4DFB482D2}" done="1">
    <text>COLA only until Step 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hyperlink" Target="https://www.bls.gov/regions/west/data/xg-tables/ro9xg01.htm" TargetMode="External"/><Relationship Id="rId6" Type="http://schemas.microsoft.com/office/2017/10/relationships/threadedComment" Target="../threadedComments/threadedComment2.xml"/><Relationship Id="rId5" Type="http://schemas.openxmlformats.org/officeDocument/2006/relationships/comments" Target="../comments10.xml"/><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E37"/>
  <sheetViews>
    <sheetView workbookViewId="0"/>
  </sheetViews>
  <sheetFormatPr defaultRowHeight="15"/>
  <cols>
    <col min="1" max="1" width="16.33203125" style="928" customWidth="1"/>
    <col min="2" max="2" width="77.6640625" customWidth="1"/>
  </cols>
  <sheetData>
    <row r="1" spans="1:5" ht="15.75">
      <c r="B1" s="974" t="s">
        <v>315</v>
      </c>
    </row>
    <row r="2" spans="1:5" ht="15.75">
      <c r="B2" s="975" t="s">
        <v>916</v>
      </c>
      <c r="E2" s="532"/>
    </row>
    <row r="3" spans="1:5" ht="15.75">
      <c r="B3" s="975"/>
      <c r="E3" s="532"/>
    </row>
    <row r="4" spans="1:5">
      <c r="A4" s="970">
        <v>45147</v>
      </c>
      <c r="B4" s="971" t="s">
        <v>917</v>
      </c>
      <c r="E4" s="532"/>
    </row>
    <row r="5" spans="1:5">
      <c r="A5" s="970"/>
      <c r="B5" s="971"/>
      <c r="E5" s="532"/>
    </row>
    <row r="6" spans="1:5">
      <c r="A6" s="970">
        <v>45210</v>
      </c>
      <c r="B6" s="971" t="s">
        <v>918</v>
      </c>
      <c r="E6" s="532"/>
    </row>
    <row r="7" spans="1:5">
      <c r="A7" s="970"/>
      <c r="B7" s="971"/>
    </row>
    <row r="8" spans="1:5">
      <c r="A8" s="970">
        <v>45294</v>
      </c>
      <c r="B8" s="971" t="s">
        <v>919</v>
      </c>
    </row>
    <row r="9" spans="1:5">
      <c r="A9" s="970"/>
      <c r="B9" s="971"/>
    </row>
    <row r="10" spans="1:5">
      <c r="A10" s="970">
        <v>45336</v>
      </c>
      <c r="B10" s="971" t="s">
        <v>920</v>
      </c>
    </row>
    <row r="11" spans="1:5">
      <c r="A11" s="970"/>
      <c r="B11" s="971"/>
    </row>
    <row r="12" spans="1:5" ht="30">
      <c r="A12" s="970">
        <v>45400</v>
      </c>
      <c r="B12" s="971" t="s">
        <v>921</v>
      </c>
    </row>
    <row r="13" spans="1:5">
      <c r="A13" s="970"/>
      <c r="B13" s="971"/>
    </row>
    <row r="14" spans="1:5" ht="30">
      <c r="A14" s="970">
        <v>45414</v>
      </c>
      <c r="B14" s="971" t="s">
        <v>922</v>
      </c>
    </row>
    <row r="15" spans="1:5">
      <c r="A15" s="970"/>
      <c r="B15" s="971"/>
    </row>
    <row r="16" spans="1:5">
      <c r="A16" s="970">
        <v>45420</v>
      </c>
      <c r="B16" s="971" t="s">
        <v>923</v>
      </c>
    </row>
    <row r="17" spans="1:2">
      <c r="A17" s="970"/>
      <c r="B17" s="971"/>
    </row>
    <row r="18" spans="1:2" ht="30">
      <c r="A18" s="970">
        <f>+A16+1</f>
        <v>45421</v>
      </c>
      <c r="B18" s="971" t="s">
        <v>924</v>
      </c>
    </row>
    <row r="19" spans="1:2">
      <c r="A19" s="970"/>
      <c r="B19" s="971"/>
    </row>
    <row r="20" spans="1:2">
      <c r="A20" s="970">
        <v>45427</v>
      </c>
      <c r="B20" s="968" t="s">
        <v>925</v>
      </c>
    </row>
    <row r="21" spans="1:2">
      <c r="A21" s="970"/>
      <c r="B21" s="968"/>
    </row>
    <row r="22" spans="1:2">
      <c r="A22" s="970">
        <v>45434</v>
      </c>
      <c r="B22" s="968" t="s">
        <v>926</v>
      </c>
    </row>
    <row r="23" spans="1:2">
      <c r="A23" s="970"/>
      <c r="B23" s="976"/>
    </row>
    <row r="24" spans="1:2" ht="30">
      <c r="A24" s="970">
        <f>+A22+1</f>
        <v>45435</v>
      </c>
      <c r="B24" s="971" t="s">
        <v>1031</v>
      </c>
    </row>
    <row r="25" spans="1:2">
      <c r="A25" s="972"/>
      <c r="B25" s="971"/>
    </row>
    <row r="26" spans="1:2" ht="30">
      <c r="A26" s="970">
        <v>45442</v>
      </c>
      <c r="B26" s="971" t="s">
        <v>927</v>
      </c>
    </row>
    <row r="27" spans="1:2">
      <c r="A27" s="970"/>
      <c r="B27" s="971"/>
    </row>
    <row r="28" spans="1:2" ht="30">
      <c r="A28" s="970">
        <v>45449</v>
      </c>
      <c r="B28" s="971" t="s">
        <v>928</v>
      </c>
    </row>
    <row r="29" spans="1:2">
      <c r="A29" s="970"/>
      <c r="B29" s="971"/>
    </row>
    <row r="30" spans="1:2">
      <c r="A30" s="970">
        <v>45455</v>
      </c>
      <c r="B30" s="968" t="s">
        <v>929</v>
      </c>
    </row>
    <row r="31" spans="1:2">
      <c r="A31" s="970"/>
      <c r="B31" s="971"/>
    </row>
    <row r="32" spans="1:2">
      <c r="A32" s="970">
        <v>45488</v>
      </c>
      <c r="B32" s="971" t="s">
        <v>930</v>
      </c>
    </row>
    <row r="33" spans="1:3">
      <c r="A33" s="969"/>
      <c r="B33" s="970"/>
    </row>
    <row r="34" spans="1:3">
      <c r="A34" s="969"/>
      <c r="B34" s="970"/>
    </row>
    <row r="35" spans="1:3">
      <c r="A35" s="969"/>
      <c r="B35" s="973" t="s">
        <v>931</v>
      </c>
    </row>
    <row r="37" spans="1:3">
      <c r="C37" s="928"/>
    </row>
  </sheetData>
  <pageMargins left="0.7" right="0.7" top="0.75" bottom="0.75"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7061-1DC4-45A4-9418-8872567DA82D}">
  <sheetPr>
    <tabColor theme="5" tint="0.79998168889431442"/>
  </sheetPr>
  <dimension ref="A1:A27"/>
  <sheetViews>
    <sheetView workbookViewId="0">
      <selection activeCell="A20" sqref="A20"/>
    </sheetView>
  </sheetViews>
  <sheetFormatPr defaultRowHeight="15"/>
  <cols>
    <col min="1" max="1" width="56.33203125" customWidth="1"/>
  </cols>
  <sheetData>
    <row r="1" spans="1:1" ht="15.75">
      <c r="A1" s="620" t="s">
        <v>315</v>
      </c>
    </row>
    <row r="2" spans="1:1" ht="15.75">
      <c r="A2" s="620"/>
    </row>
    <row r="3" spans="1:1" ht="15.75">
      <c r="A3" s="620" t="s">
        <v>609</v>
      </c>
    </row>
    <row r="4" spans="1:1" ht="15.75">
      <c r="A4" s="620" t="s">
        <v>1012</v>
      </c>
    </row>
    <row r="5" spans="1:1" ht="15.75">
      <c r="A5" s="620" t="s">
        <v>1013</v>
      </c>
    </row>
    <row r="6" spans="1:1" ht="15.75">
      <c r="A6" s="1029">
        <v>0.79166666666666663</v>
      </c>
    </row>
    <row r="7" spans="1:1">
      <c r="A7" s="99"/>
    </row>
    <row r="8" spans="1:1">
      <c r="A8" t="s">
        <v>1023</v>
      </c>
    </row>
    <row r="10" spans="1:1">
      <c r="A10" t="s">
        <v>1014</v>
      </c>
    </row>
    <row r="12" spans="1:1">
      <c r="A12" t="s">
        <v>1015</v>
      </c>
    </row>
    <row r="14" spans="1:1">
      <c r="A14" s="1028" t="s">
        <v>1016</v>
      </c>
    </row>
    <row r="15" spans="1:1">
      <c r="A15" s="1028"/>
    </row>
    <row r="16" spans="1:1">
      <c r="A16" s="1028" t="s">
        <v>1017</v>
      </c>
    </row>
    <row r="17" spans="1:1">
      <c r="A17" s="1028"/>
    </row>
    <row r="18" spans="1:1">
      <c r="A18" s="1028" t="s">
        <v>1018</v>
      </c>
    </row>
    <row r="19" spans="1:1">
      <c r="A19" s="1028"/>
    </row>
    <row r="20" spans="1:1">
      <c r="A20" s="1028" t="s">
        <v>1019</v>
      </c>
    </row>
    <row r="21" spans="1:1">
      <c r="A21" s="1028"/>
    </row>
    <row r="22" spans="1:1">
      <c r="A22" s="1028" t="s">
        <v>1020</v>
      </c>
    </row>
    <row r="23" spans="1:1">
      <c r="A23" s="1028"/>
    </row>
    <row r="24" spans="1:1">
      <c r="A24" s="1028" t="s">
        <v>1021</v>
      </c>
    </row>
    <row r="25" spans="1:1">
      <c r="A25" s="1028"/>
    </row>
    <row r="26" spans="1:1">
      <c r="A26" s="1028" t="s">
        <v>1022</v>
      </c>
    </row>
    <row r="27" spans="1:1">
      <c r="A27" s="10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64BE-14BD-4C83-BDE0-B3238F0BDD46}">
  <sheetPr>
    <tabColor rgb="FFF2EC04"/>
  </sheetPr>
  <dimension ref="A21:A42"/>
  <sheetViews>
    <sheetView workbookViewId="0">
      <selection activeCell="O1" sqref="O1"/>
    </sheetView>
  </sheetViews>
  <sheetFormatPr defaultRowHeight="15"/>
  <sheetData>
    <row r="21" spans="1:1" ht="15.75">
      <c r="A21" s="1031"/>
    </row>
    <row r="22" spans="1:1" ht="15.75">
      <c r="A22" s="1031"/>
    </row>
    <row r="23" spans="1:1" ht="15.75">
      <c r="A23" s="1031"/>
    </row>
    <row r="24" spans="1:1">
      <c r="A24" s="1030"/>
    </row>
    <row r="25" spans="1:1" ht="15.75">
      <c r="A25" s="1032"/>
    </row>
    <row r="26" spans="1:1" ht="15.75">
      <c r="A26" s="1033"/>
    </row>
    <row r="27" spans="1:1" ht="15.75">
      <c r="A27" s="1033"/>
    </row>
    <row r="28" spans="1:1" ht="15.75">
      <c r="A28" s="1033"/>
    </row>
    <row r="29" spans="1:1" ht="15.75">
      <c r="A29" s="1033"/>
    </row>
    <row r="30" spans="1:1" ht="15.75">
      <c r="A30" s="1033"/>
    </row>
    <row r="31" spans="1:1" ht="15.75">
      <c r="A31" s="1033"/>
    </row>
    <row r="32" spans="1:1" ht="15.75">
      <c r="A32" s="1033"/>
    </row>
    <row r="33" spans="1:1" ht="15.75">
      <c r="A33" s="1033"/>
    </row>
    <row r="34" spans="1:1" ht="15.75">
      <c r="A34" s="1033"/>
    </row>
    <row r="35" spans="1:1">
      <c r="A35" s="6"/>
    </row>
    <row r="36" spans="1:1">
      <c r="A36" s="6"/>
    </row>
    <row r="37" spans="1:1" ht="15.75">
      <c r="A37" s="1033"/>
    </row>
    <row r="38" spans="1:1" ht="15.75">
      <c r="A38" s="1033"/>
    </row>
    <row r="39" spans="1:1" ht="15.75">
      <c r="A39" s="1033"/>
    </row>
    <row r="40" spans="1:1">
      <c r="A40" s="6"/>
    </row>
    <row r="41" spans="1:1">
      <c r="A41" s="6"/>
    </row>
    <row r="42" spans="1:1">
      <c r="A42" s="6"/>
    </row>
  </sheetData>
  <pageMargins left="0.25" right="0.25" top="0.25" bottom="0.2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P25"/>
  <sheetViews>
    <sheetView workbookViewId="0">
      <selection sqref="A1:O1"/>
    </sheetView>
  </sheetViews>
  <sheetFormatPr defaultRowHeight="15"/>
  <cols>
    <col min="1" max="1" width="30.109375" style="941" bestFit="1" customWidth="1"/>
    <col min="2" max="2" width="8.88671875" style="941"/>
    <col min="3" max="3" width="15.109375" style="941" customWidth="1"/>
    <col min="4" max="4" width="10.109375" style="941" customWidth="1"/>
    <col min="5" max="14" width="8.88671875" style="941" hidden="1" customWidth="1"/>
    <col min="15" max="15" width="11.109375" style="941" customWidth="1"/>
  </cols>
  <sheetData>
    <row r="1" spans="1:16" ht="20.25">
      <c r="A1" s="1062" t="s">
        <v>315</v>
      </c>
      <c r="B1" s="1062"/>
      <c r="C1" s="1062"/>
      <c r="D1" s="1062"/>
      <c r="E1" s="1062"/>
      <c r="F1" s="1062"/>
      <c r="G1" s="1062"/>
      <c r="H1" s="1062"/>
      <c r="I1" s="1062"/>
      <c r="J1" s="1062"/>
      <c r="K1" s="1062"/>
      <c r="L1" s="1062"/>
      <c r="M1" s="1062"/>
      <c r="N1" s="1062"/>
      <c r="O1" s="1062"/>
    </row>
    <row r="2" spans="1:16" ht="20.25">
      <c r="A2" s="1062" t="s">
        <v>894</v>
      </c>
      <c r="B2" s="1062"/>
      <c r="C2" s="1062"/>
      <c r="D2" s="1062"/>
      <c r="E2" s="1062"/>
      <c r="F2" s="1062"/>
      <c r="G2" s="1062"/>
      <c r="H2" s="1062"/>
      <c r="I2" s="1062"/>
      <c r="J2" s="1062"/>
      <c r="K2" s="1062"/>
      <c r="L2" s="1062"/>
      <c r="M2" s="1062"/>
      <c r="N2" s="1062"/>
      <c r="O2" s="1062"/>
    </row>
    <row r="3" spans="1:16" ht="20.25">
      <c r="A3" s="1062" t="s">
        <v>895</v>
      </c>
      <c r="B3" s="1062"/>
      <c r="C3" s="1062"/>
      <c r="D3" s="1062"/>
      <c r="E3" s="1062"/>
      <c r="F3" s="1062"/>
      <c r="G3" s="1062"/>
      <c r="H3" s="1062"/>
      <c r="I3" s="1062"/>
      <c r="J3" s="1062"/>
      <c r="K3" s="1062"/>
      <c r="L3" s="1062"/>
      <c r="M3" s="1062"/>
      <c r="N3" s="1062"/>
      <c r="O3" s="1062"/>
    </row>
    <row r="4" spans="1:16" ht="15.75">
      <c r="A4" s="927"/>
      <c r="B4" s="927"/>
      <c r="C4" s="927"/>
      <c r="D4" s="927"/>
      <c r="E4" s="927"/>
      <c r="F4" s="927"/>
      <c r="G4" s="927"/>
      <c r="H4" s="927"/>
      <c r="I4" s="927"/>
      <c r="J4" s="927"/>
      <c r="K4" s="927"/>
      <c r="L4" s="927"/>
      <c r="M4" s="927"/>
      <c r="N4" s="927"/>
      <c r="O4" s="927"/>
    </row>
    <row r="5" spans="1:16" ht="62.25" customHeight="1">
      <c r="A5" s="1060" t="s">
        <v>896</v>
      </c>
      <c r="B5" s="1060"/>
      <c r="C5" s="1060"/>
      <c r="D5" s="1060"/>
      <c r="E5" s="1060"/>
      <c r="F5" s="1060"/>
      <c r="G5" s="1060"/>
      <c r="H5" s="1060"/>
      <c r="I5" s="1060"/>
      <c r="J5" s="1060"/>
      <c r="K5" s="1060"/>
      <c r="L5" s="1060"/>
      <c r="M5" s="1060"/>
      <c r="N5" s="1060"/>
      <c r="O5" s="1060"/>
    </row>
    <row r="7" spans="1:16" ht="50.25" customHeight="1">
      <c r="A7" s="1060" t="s">
        <v>897</v>
      </c>
      <c r="B7" s="1060"/>
      <c r="C7" s="1060"/>
      <c r="D7" s="1060"/>
      <c r="E7" s="1060"/>
      <c r="F7" s="1060"/>
      <c r="G7" s="1060"/>
      <c r="H7" s="1060"/>
      <c r="I7" s="1060"/>
      <c r="J7" s="1060"/>
      <c r="K7" s="1060"/>
      <c r="L7" s="1060"/>
      <c r="M7" s="1060"/>
      <c r="N7" s="1060"/>
      <c r="O7" s="1060"/>
    </row>
    <row r="9" spans="1:16" ht="90.75" customHeight="1">
      <c r="A9" s="1059" t="s">
        <v>1045</v>
      </c>
      <c r="B9" s="1060"/>
      <c r="C9" s="1060"/>
      <c r="D9" s="1060"/>
      <c r="E9" s="1060"/>
      <c r="F9" s="1060"/>
      <c r="G9" s="1060"/>
      <c r="H9" s="1060"/>
      <c r="I9" s="1060"/>
      <c r="J9" s="1060"/>
      <c r="K9" s="1060"/>
      <c r="L9" s="1060"/>
      <c r="M9" s="1060"/>
      <c r="N9" s="1060"/>
      <c r="O9" s="1060"/>
    </row>
    <row r="10" spans="1:16" ht="15" customHeight="1">
      <c r="A10" s="1045"/>
      <c r="B10" s="1045"/>
      <c r="C10" s="1045"/>
      <c r="D10" s="1045"/>
      <c r="E10" s="1045"/>
      <c r="F10" s="1045"/>
      <c r="G10" s="1045"/>
      <c r="H10" s="1045"/>
      <c r="I10" s="1045"/>
      <c r="J10" s="1045"/>
      <c r="K10" s="1045"/>
      <c r="L10" s="1045"/>
      <c r="M10" s="1045"/>
      <c r="N10" s="1045"/>
      <c r="O10" s="1046"/>
      <c r="P10" s="928"/>
    </row>
    <row r="11" spans="1:16" ht="112.5" customHeight="1">
      <c r="A11" s="1059" t="s">
        <v>1046</v>
      </c>
      <c r="B11" s="1059"/>
      <c r="C11" s="1059"/>
      <c r="D11" s="1059"/>
      <c r="E11" s="1059"/>
      <c r="F11" s="1059"/>
      <c r="G11" s="1059"/>
      <c r="H11" s="1059"/>
      <c r="I11" s="1059"/>
      <c r="J11" s="1059"/>
      <c r="K11" s="1059"/>
      <c r="L11" s="1059"/>
      <c r="M11" s="1059"/>
      <c r="N11" s="1059"/>
      <c r="O11" s="1060"/>
      <c r="P11" s="929"/>
    </row>
    <row r="12" spans="1:16">
      <c r="A12" s="1045"/>
      <c r="B12" s="1045"/>
      <c r="C12" s="1045"/>
      <c r="D12" s="1045"/>
      <c r="E12" s="1045"/>
      <c r="F12" s="1045"/>
      <c r="G12" s="1045"/>
      <c r="H12" s="1045"/>
      <c r="I12" s="1045"/>
      <c r="J12" s="1045"/>
      <c r="K12" s="1045"/>
      <c r="L12" s="1045"/>
      <c r="M12" s="1045"/>
      <c r="N12" s="1045"/>
      <c r="O12" s="1046"/>
    </row>
    <row r="13" spans="1:16">
      <c r="A13" s="1061" t="s">
        <v>898</v>
      </c>
      <c r="B13" s="1058"/>
      <c r="C13" s="1058"/>
      <c r="E13" s="1047"/>
      <c r="F13" s="1047"/>
      <c r="G13" s="1047"/>
      <c r="H13" s="1047"/>
      <c r="I13" s="1047"/>
      <c r="J13" s="1047"/>
      <c r="K13" s="1047"/>
      <c r="L13" s="1047"/>
      <c r="M13" s="1047"/>
      <c r="N13" s="1047"/>
      <c r="O13" s="1048">
        <v>1297006</v>
      </c>
    </row>
    <row r="14" spans="1:16">
      <c r="A14" s="1061" t="s">
        <v>899</v>
      </c>
      <c r="B14" s="1058"/>
      <c r="C14" s="1058"/>
      <c r="E14" s="1047"/>
      <c r="F14" s="1047"/>
      <c r="G14" s="1047"/>
      <c r="H14" s="1047"/>
      <c r="I14" s="1047"/>
      <c r="J14" s="1047"/>
      <c r="K14" s="1047"/>
      <c r="L14" s="1047"/>
      <c r="M14" s="1047"/>
      <c r="N14" s="1047"/>
      <c r="O14" s="1048">
        <v>457651</v>
      </c>
    </row>
    <row r="16" spans="1:16">
      <c r="A16" s="1061" t="s">
        <v>900</v>
      </c>
      <c r="B16" s="1058"/>
      <c r="C16" s="1058"/>
      <c r="E16" s="1047"/>
      <c r="F16" s="1047"/>
      <c r="G16" s="1047"/>
      <c r="H16" s="1047"/>
      <c r="I16" s="1047"/>
      <c r="J16" s="1047"/>
      <c r="K16" s="1047"/>
      <c r="L16" s="1047"/>
      <c r="M16" s="1047"/>
      <c r="N16" s="1047"/>
      <c r="O16" s="1049">
        <v>796000</v>
      </c>
    </row>
    <row r="17" spans="1:15" ht="15" customHeight="1">
      <c r="A17" s="1058" t="s">
        <v>901</v>
      </c>
      <c r="B17" s="1058"/>
      <c r="C17" s="1058"/>
      <c r="O17" s="1050">
        <v>800041</v>
      </c>
    </row>
    <row r="19" spans="1:15">
      <c r="A19" s="941" t="s">
        <v>902</v>
      </c>
    </row>
    <row r="20" spans="1:15">
      <c r="A20" s="941" t="s">
        <v>903</v>
      </c>
    </row>
    <row r="22" spans="1:15">
      <c r="A22" s="1061" t="s">
        <v>904</v>
      </c>
      <c r="B22" s="1058"/>
      <c r="C22" s="1058"/>
      <c r="O22" s="1049">
        <v>16016.072306565635</v>
      </c>
    </row>
    <row r="23" spans="1:15">
      <c r="A23" s="1058" t="s">
        <v>901</v>
      </c>
      <c r="B23" s="1058"/>
      <c r="C23" s="1058"/>
      <c r="O23" s="1050">
        <v>0</v>
      </c>
    </row>
    <row r="25" spans="1:15">
      <c r="A25" s="941" t="s">
        <v>905</v>
      </c>
    </row>
  </sheetData>
  <mergeCells count="13">
    <mergeCell ref="A9:O9"/>
    <mergeCell ref="A1:O1"/>
    <mergeCell ref="A2:O2"/>
    <mergeCell ref="A3:O3"/>
    <mergeCell ref="A5:O5"/>
    <mergeCell ref="A7:O7"/>
    <mergeCell ref="A23:C23"/>
    <mergeCell ref="A11:O11"/>
    <mergeCell ref="A13:C13"/>
    <mergeCell ref="A14:C14"/>
    <mergeCell ref="A16:C16"/>
    <mergeCell ref="A17:C17"/>
    <mergeCell ref="A22:C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P122"/>
  <sheetViews>
    <sheetView workbookViewId="0"/>
  </sheetViews>
  <sheetFormatPr defaultColWidth="4.21875" defaultRowHeight="12.75"/>
  <cols>
    <col min="1" max="1" width="11" style="807" bestFit="1" customWidth="1"/>
    <col min="2" max="2" width="11" style="826" bestFit="1" customWidth="1"/>
    <col min="3" max="3" width="11" style="807" bestFit="1" customWidth="1"/>
    <col min="4" max="4" width="29.44140625" style="807" customWidth="1"/>
    <col min="5" max="5" width="8.109375" style="831" hidden="1" customWidth="1"/>
    <col min="6" max="6" width="11" style="985" bestFit="1" customWidth="1"/>
    <col min="7" max="8" width="11" style="807" customWidth="1"/>
    <col min="9" max="9" width="4.21875" style="436"/>
    <col min="10" max="11" width="8.88671875" style="829" bestFit="1" customWidth="1"/>
    <col min="12" max="12" width="4.21875" style="436"/>
    <col min="13" max="13" width="3.33203125" style="436" customWidth="1"/>
    <col min="14" max="14" width="24.88671875" style="807" bestFit="1" customWidth="1"/>
    <col min="15" max="15" width="13.5546875" style="807" bestFit="1" customWidth="1"/>
    <col min="16" max="16384" width="4.21875" style="807"/>
  </cols>
  <sheetData>
    <row r="1" spans="1:15" s="81" customFormat="1" ht="15.75" customHeight="1">
      <c r="A1" s="1052"/>
      <c r="B1" s="716"/>
      <c r="C1" s="1063" t="s">
        <v>315</v>
      </c>
      <c r="D1" s="1063"/>
      <c r="E1" s="1063"/>
      <c r="F1" s="1063"/>
      <c r="G1" s="739"/>
      <c r="H1" s="740"/>
      <c r="I1" s="503"/>
      <c r="J1" s="741"/>
      <c r="K1" s="741"/>
      <c r="L1" s="503"/>
    </row>
    <row r="2" spans="1:15" s="81" customFormat="1" ht="20.25" customHeight="1">
      <c r="A2" s="742"/>
      <c r="B2" s="742"/>
      <c r="C2" s="1064" t="s">
        <v>758</v>
      </c>
      <c r="D2" s="1064"/>
      <c r="E2" s="1064"/>
      <c r="F2" s="1064"/>
      <c r="I2" s="503"/>
      <c r="J2" s="741"/>
      <c r="K2" s="741"/>
      <c r="L2" s="503"/>
      <c r="M2" s="503"/>
    </row>
    <row r="3" spans="1:15" s="81" customFormat="1" ht="15.75" customHeight="1">
      <c r="A3" s="742"/>
      <c r="B3" s="742"/>
      <c r="C3" s="742"/>
      <c r="D3" s="743"/>
      <c r="E3" s="743"/>
      <c r="F3" s="744"/>
      <c r="G3" s="716"/>
      <c r="H3" s="716"/>
      <c r="I3" s="503"/>
      <c r="J3" s="496" t="s">
        <v>759</v>
      </c>
      <c r="K3" s="496" t="s">
        <v>760</v>
      </c>
      <c r="L3" s="503"/>
      <c r="M3" s="503"/>
    </row>
    <row r="4" spans="1:15" s="81" customFormat="1" ht="15.75" customHeight="1">
      <c r="A4" s="743" t="s">
        <v>761</v>
      </c>
      <c r="B4" s="743" t="s">
        <v>762</v>
      </c>
      <c r="C4" s="743" t="s">
        <v>763</v>
      </c>
      <c r="D4" s="744"/>
      <c r="E4" s="1053" t="s">
        <v>764</v>
      </c>
      <c r="F4" s="745" t="s">
        <v>613</v>
      </c>
      <c r="G4" s="746" t="str">
        <f>+F4</f>
        <v>2024-2025</v>
      </c>
      <c r="H4" s="746" t="str">
        <f>+G4</f>
        <v>2024-2025</v>
      </c>
      <c r="I4" s="503"/>
      <c r="J4" s="496" t="s">
        <v>765</v>
      </c>
      <c r="K4" s="496" t="s">
        <v>765</v>
      </c>
      <c r="L4" s="503"/>
      <c r="M4" s="503"/>
    </row>
    <row r="5" spans="1:15" s="81" customFormat="1" ht="15.75" customHeight="1" thickBot="1">
      <c r="A5" s="747" t="s">
        <v>766</v>
      </c>
      <c r="B5" s="747" t="s">
        <v>766</v>
      </c>
      <c r="C5" s="748" t="s">
        <v>767</v>
      </c>
      <c r="D5" s="749" t="s">
        <v>768</v>
      </c>
      <c r="E5" s="1054" t="s">
        <v>769</v>
      </c>
      <c r="F5" s="748" t="s">
        <v>770</v>
      </c>
      <c r="G5" s="747" t="s">
        <v>771</v>
      </c>
      <c r="H5" s="747" t="s">
        <v>767</v>
      </c>
      <c r="I5" s="503"/>
      <c r="J5" s="1057" t="str">
        <f>+C4</f>
        <v>2023-2024</v>
      </c>
      <c r="K5" s="1057" t="str">
        <f>+J5</f>
        <v>2023-2024</v>
      </c>
      <c r="L5" s="503"/>
      <c r="M5" s="503"/>
    </row>
    <row r="6" spans="1:15" s="81" customFormat="1" ht="15.75" customHeight="1" thickTop="1">
      <c r="A6" s="750"/>
      <c r="B6" s="750"/>
      <c r="C6" s="751"/>
      <c r="D6" s="497"/>
      <c r="E6" s="497"/>
      <c r="F6" s="752"/>
      <c r="G6" s="753"/>
      <c r="H6" s="751"/>
      <c r="I6" s="503"/>
      <c r="J6" s="741"/>
      <c r="K6" s="741"/>
      <c r="L6" s="503"/>
      <c r="M6" s="503"/>
    </row>
    <row r="7" spans="1:15" s="81" customFormat="1" ht="15.75" customHeight="1">
      <c r="A7" s="750"/>
      <c r="B7" s="750"/>
      <c r="C7" s="751"/>
      <c r="D7" s="754" t="s">
        <v>772</v>
      </c>
      <c r="E7" s="754"/>
      <c r="F7" s="752"/>
      <c r="G7" s="753"/>
      <c r="H7" s="751"/>
      <c r="I7" s="503"/>
      <c r="J7" s="741"/>
      <c r="K7" s="741"/>
      <c r="L7" s="503"/>
      <c r="M7" s="503"/>
      <c r="O7" s="344"/>
    </row>
    <row r="8" spans="1:15" s="81" customFormat="1" ht="15.75" customHeight="1">
      <c r="A8" s="750"/>
      <c r="B8" s="750"/>
      <c r="C8" s="751"/>
      <c r="D8" s="755"/>
      <c r="E8" s="755"/>
      <c r="F8" s="752"/>
      <c r="G8" s="753"/>
      <c r="H8" s="751"/>
      <c r="I8" s="503"/>
      <c r="J8" s="741"/>
      <c r="K8" s="741"/>
      <c r="L8" s="503"/>
      <c r="M8" s="503"/>
      <c r="O8" s="344"/>
    </row>
    <row r="9" spans="1:15" s="81" customFormat="1" ht="15.75" customHeight="1">
      <c r="A9" s="750"/>
      <c r="B9" s="750"/>
      <c r="C9" s="756"/>
      <c r="D9" s="757" t="s">
        <v>773</v>
      </c>
      <c r="E9" s="757"/>
      <c r="F9" s="752"/>
      <c r="G9" s="753"/>
      <c r="H9" s="756"/>
      <c r="I9" s="503"/>
      <c r="J9" s="741"/>
      <c r="K9" s="741"/>
      <c r="L9" s="503"/>
      <c r="M9" s="503"/>
      <c r="O9" s="344"/>
    </row>
    <row r="10" spans="1:15" s="81" customFormat="1" ht="15.75" customHeight="1">
      <c r="A10" s="750"/>
      <c r="B10" s="750"/>
      <c r="C10" s="751"/>
      <c r="D10" s="755"/>
      <c r="E10" s="755"/>
      <c r="F10" s="752"/>
      <c r="G10" s="753"/>
      <c r="H10" s="751"/>
      <c r="I10" s="503"/>
      <c r="J10" s="741"/>
      <c r="K10" s="741"/>
      <c r="L10" s="503"/>
      <c r="M10" s="353"/>
      <c r="N10" s="344"/>
      <c r="O10" s="344"/>
    </row>
    <row r="11" spans="1:15" s="81" customFormat="1" ht="15.75" customHeight="1">
      <c r="A11" s="758">
        <v>1083891</v>
      </c>
      <c r="B11" s="758">
        <v>994161</v>
      </c>
      <c r="C11" s="759">
        <v>1031894</v>
      </c>
      <c r="D11" s="717" t="s">
        <v>966</v>
      </c>
      <c r="E11" s="728">
        <v>4000</v>
      </c>
      <c r="F11" s="759">
        <f>+'YE Projections'!I5</f>
        <v>850984</v>
      </c>
      <c r="G11" s="759"/>
      <c r="H11" s="759"/>
      <c r="I11" s="503"/>
      <c r="J11" s="943">
        <f t="shared" ref="J11:J20" si="0">+F11-C11</f>
        <v>-180910</v>
      </c>
      <c r="K11" s="760">
        <f t="shared" ref="K11:K16" si="1">J11/C11</f>
        <v>-0.17531839510647412</v>
      </c>
      <c r="L11" s="503"/>
      <c r="M11" s="353"/>
      <c r="N11" s="344"/>
      <c r="O11" s="344"/>
    </row>
    <row r="12" spans="1:15" s="81" customFormat="1" ht="15.75" customHeight="1">
      <c r="A12" s="758">
        <v>10259</v>
      </c>
      <c r="B12" s="758">
        <v>10647</v>
      </c>
      <c r="C12" s="759">
        <v>12000</v>
      </c>
      <c r="D12" s="717" t="s">
        <v>775</v>
      </c>
      <c r="E12" s="728">
        <v>4020</v>
      </c>
      <c r="F12" s="759">
        <f>+'YE Projections'!I7</f>
        <v>12000</v>
      </c>
      <c r="G12" s="759"/>
      <c r="H12" s="759"/>
      <c r="I12" s="503"/>
      <c r="J12" s="943">
        <f t="shared" si="0"/>
        <v>0</v>
      </c>
      <c r="K12" s="760">
        <f t="shared" si="1"/>
        <v>0</v>
      </c>
      <c r="L12" s="503"/>
      <c r="M12" s="353"/>
      <c r="N12" s="344"/>
      <c r="O12" s="344"/>
    </row>
    <row r="13" spans="1:15" s="81" customFormat="1" ht="15.75" customHeight="1">
      <c r="A13" s="758">
        <v>2309</v>
      </c>
      <c r="B13" s="758">
        <v>3448</v>
      </c>
      <c r="C13" s="759">
        <v>250</v>
      </c>
      <c r="D13" s="717" t="s">
        <v>776</v>
      </c>
      <c r="E13" s="728">
        <v>4100</v>
      </c>
      <c r="F13" s="759">
        <f>+'YE Projections'!I14</f>
        <v>1000</v>
      </c>
      <c r="G13" s="759"/>
      <c r="H13" s="759"/>
      <c r="I13" s="503"/>
      <c r="J13" s="943">
        <f>+F13-C13</f>
        <v>750</v>
      </c>
      <c r="K13" s="760">
        <f>J13/C13</f>
        <v>3</v>
      </c>
      <c r="L13" s="503"/>
      <c r="M13" s="608"/>
      <c r="N13" s="22"/>
      <c r="O13" s="22"/>
    </row>
    <row r="14" spans="1:15" s="81" customFormat="1" ht="15.75" customHeight="1">
      <c r="A14" s="758">
        <v>3905</v>
      </c>
      <c r="B14" s="758">
        <v>3665</v>
      </c>
      <c r="C14" s="759">
        <v>1000</v>
      </c>
      <c r="D14" s="717" t="s">
        <v>777</v>
      </c>
      <c r="E14" s="728">
        <v>4040</v>
      </c>
      <c r="F14" s="759">
        <f>+'YE Projections'!I11</f>
        <v>2000</v>
      </c>
      <c r="G14" s="759"/>
      <c r="H14" s="759"/>
      <c r="I14" s="503"/>
      <c r="J14" s="943">
        <f t="shared" si="0"/>
        <v>1000</v>
      </c>
      <c r="K14" s="760">
        <f t="shared" si="1"/>
        <v>1</v>
      </c>
      <c r="L14" s="503"/>
      <c r="M14" s="608"/>
      <c r="N14" s="22"/>
      <c r="O14" s="22"/>
    </row>
    <row r="15" spans="1:15" s="81" customFormat="1" ht="15.75" customHeight="1">
      <c r="A15" s="758">
        <v>385</v>
      </c>
      <c r="B15" s="758">
        <v>313</v>
      </c>
      <c r="C15" s="761">
        <v>310</v>
      </c>
      <c r="D15" s="723" t="s">
        <v>778</v>
      </c>
      <c r="E15" s="813">
        <v>4070</v>
      </c>
      <c r="F15" s="761">
        <f>+'YE Projections'!I13</f>
        <v>600</v>
      </c>
      <c r="G15" s="759"/>
      <c r="H15" s="759"/>
      <c r="I15" s="503"/>
      <c r="J15" s="943">
        <f>+F15-C15</f>
        <v>290</v>
      </c>
      <c r="K15" s="760">
        <f>J15/C15</f>
        <v>0.93548387096774188</v>
      </c>
      <c r="L15" s="503"/>
      <c r="M15" s="608"/>
      <c r="N15" s="22"/>
      <c r="O15" s="22"/>
    </row>
    <row r="16" spans="1:15" s="81" customFormat="1" ht="15.75" customHeight="1">
      <c r="A16" s="758">
        <v>6877</v>
      </c>
      <c r="B16" s="758">
        <v>29789</v>
      </c>
      <c r="C16" s="759">
        <v>25514</v>
      </c>
      <c r="D16" s="723" t="s">
        <v>779</v>
      </c>
      <c r="E16" s="813" t="s">
        <v>780</v>
      </c>
      <c r="F16" s="759">
        <f>+'YE Projections'!I8+'YE Projections'!I10+'YE Projections'!I9</f>
        <v>25713</v>
      </c>
      <c r="G16" s="759"/>
      <c r="H16" s="759"/>
      <c r="I16" s="503"/>
      <c r="J16" s="943">
        <f t="shared" si="0"/>
        <v>199</v>
      </c>
      <c r="K16" s="760">
        <f t="shared" si="1"/>
        <v>7.7996394136552478E-3</v>
      </c>
      <c r="L16" s="503"/>
      <c r="M16" s="608"/>
      <c r="N16" s="22"/>
      <c r="O16" s="22"/>
    </row>
    <row r="17" spans="1:16" s="81" customFormat="1" ht="15.75" customHeight="1">
      <c r="A17" s="762">
        <v>66609</v>
      </c>
      <c r="B17" s="762">
        <v>123211</v>
      </c>
      <c r="C17" s="761">
        <v>0</v>
      </c>
      <c r="D17" s="717" t="s">
        <v>781</v>
      </c>
      <c r="E17" s="728">
        <v>4050</v>
      </c>
      <c r="F17" s="761">
        <f>+'YE Projections'!I12</f>
        <v>0</v>
      </c>
      <c r="G17" s="759"/>
      <c r="H17" s="759"/>
      <c r="I17" s="503"/>
      <c r="J17" s="943"/>
      <c r="K17" s="763"/>
      <c r="L17" s="503"/>
      <c r="M17" s="608"/>
      <c r="N17" s="22"/>
      <c r="O17" s="22"/>
    </row>
    <row r="18" spans="1:16" s="81" customFormat="1" ht="15.75" customHeight="1">
      <c r="A18" s="762">
        <f>12133+2200</f>
        <v>14333</v>
      </c>
      <c r="B18" s="762">
        <v>2971</v>
      </c>
      <c r="C18" s="761">
        <v>2300</v>
      </c>
      <c r="D18" s="717" t="s">
        <v>849</v>
      </c>
      <c r="E18" s="728">
        <v>4250</v>
      </c>
      <c r="F18" s="761">
        <f>+'YE Projections'!I15+'YE Projections'!I16</f>
        <v>2360</v>
      </c>
      <c r="G18" s="759"/>
      <c r="H18" s="759"/>
      <c r="I18" s="503"/>
      <c r="J18" s="943">
        <f t="shared" ref="J18" si="2">+F18-C18</f>
        <v>60</v>
      </c>
      <c r="K18" s="760">
        <f t="shared" ref="K18" si="3">J18/C18</f>
        <v>2.6086956521739129E-2</v>
      </c>
      <c r="L18" s="503"/>
      <c r="M18" s="608"/>
      <c r="N18" s="22"/>
      <c r="O18" s="22"/>
    </row>
    <row r="19" spans="1:16" s="81" customFormat="1" ht="15.75" customHeight="1">
      <c r="A19" s="762">
        <v>2730</v>
      </c>
      <c r="B19" s="762">
        <v>2385</v>
      </c>
      <c r="C19" s="761">
        <v>0</v>
      </c>
      <c r="D19" s="717" t="s">
        <v>850</v>
      </c>
      <c r="E19" s="728">
        <v>4400</v>
      </c>
      <c r="F19" s="761">
        <f>+'YE Projections'!I17</f>
        <v>0</v>
      </c>
      <c r="G19" s="759"/>
      <c r="H19" s="759"/>
      <c r="I19" s="503"/>
      <c r="J19" s="943"/>
      <c r="K19" s="763"/>
      <c r="L19" s="503"/>
      <c r="M19" s="608"/>
      <c r="N19" s="22"/>
      <c r="O19" s="22"/>
    </row>
    <row r="20" spans="1:16" s="81" customFormat="1" ht="15.75" customHeight="1">
      <c r="A20" s="764">
        <v>1191298</v>
      </c>
      <c r="B20" s="764">
        <f>SUM(B11:B19)</f>
        <v>1170590</v>
      </c>
      <c r="C20" s="764">
        <v>1073268</v>
      </c>
      <c r="D20" s="765" t="s">
        <v>782</v>
      </c>
      <c r="E20" s="765"/>
      <c r="F20" s="764">
        <f>SUM(F10:F19)</f>
        <v>894657</v>
      </c>
      <c r="G20" s="764">
        <f>SUM(G10:G19)</f>
        <v>0</v>
      </c>
      <c r="H20" s="764">
        <f>SUM(H10:H19)</f>
        <v>0</v>
      </c>
      <c r="I20" s="766"/>
      <c r="J20" s="944">
        <f t="shared" si="0"/>
        <v>-178611</v>
      </c>
      <c r="K20" s="767">
        <f>J20/C20</f>
        <v>-0.16641789375999286</v>
      </c>
      <c r="L20" s="503"/>
      <c r="M20" s="503"/>
      <c r="N20" s="503"/>
      <c r="O20" s="50"/>
    </row>
    <row r="21" spans="1:16" s="81" customFormat="1" ht="15.75" customHeight="1">
      <c r="A21" s="768"/>
      <c r="B21" s="768"/>
      <c r="C21" s="759"/>
      <c r="D21" s="728"/>
      <c r="E21" s="728"/>
      <c r="F21" s="759"/>
      <c r="G21" s="759"/>
      <c r="H21" s="759"/>
      <c r="I21" s="503"/>
      <c r="J21" s="943"/>
      <c r="K21" s="763"/>
      <c r="L21" s="503"/>
      <c r="M21" s="503"/>
      <c r="N21" s="503"/>
      <c r="O21" s="769"/>
    </row>
    <row r="22" spans="1:16" s="81" customFormat="1" ht="15.75" customHeight="1">
      <c r="A22" s="758">
        <v>757519</v>
      </c>
      <c r="B22" s="758">
        <v>793464</v>
      </c>
      <c r="C22" s="730"/>
      <c r="D22" s="728" t="s">
        <v>783</v>
      </c>
      <c r="E22" s="728"/>
      <c r="F22" s="730"/>
      <c r="G22" s="730"/>
      <c r="H22" s="730"/>
      <c r="I22" s="503"/>
      <c r="J22" s="943"/>
      <c r="K22" s="763"/>
      <c r="L22" s="503"/>
      <c r="M22" s="770"/>
      <c r="N22" s="503"/>
      <c r="O22" s="28"/>
      <c r="P22" s="503"/>
    </row>
    <row r="23" spans="1:16" s="81" customFormat="1" ht="15.75" customHeight="1">
      <c r="A23" s="80"/>
      <c r="B23" s="80"/>
      <c r="C23" s="771">
        <v>800000</v>
      </c>
      <c r="D23" s="728" t="s">
        <v>784</v>
      </c>
      <c r="E23" s="728">
        <v>4010</v>
      </c>
      <c r="F23" s="715">
        <f>+'YE Projections'!I6</f>
        <v>860000</v>
      </c>
      <c r="G23" s="759"/>
      <c r="H23" s="759"/>
      <c r="I23" s="503"/>
      <c r="J23" s="943">
        <f>+F23-C23</f>
        <v>60000</v>
      </c>
      <c r="K23" s="760">
        <f>J23/C23</f>
        <v>7.4999999999999997E-2</v>
      </c>
      <c r="L23" s="503"/>
      <c r="M23" s="503"/>
      <c r="N23" s="503"/>
      <c r="O23" s="22"/>
      <c r="P23" s="503"/>
    </row>
    <row r="24" spans="1:16" s="81" customFormat="1" ht="15.75" customHeight="1" thickBot="1">
      <c r="A24" s="719"/>
      <c r="B24" s="719"/>
      <c r="C24" s="719"/>
      <c r="D24" s="717"/>
      <c r="E24" s="728"/>
      <c r="F24" s="772"/>
      <c r="G24" s="759"/>
      <c r="H24" s="759"/>
      <c r="I24" s="503"/>
      <c r="J24" s="943"/>
      <c r="K24" s="760"/>
      <c r="L24" s="503"/>
      <c r="M24" s="503"/>
      <c r="N24" s="503"/>
      <c r="O24" s="22"/>
      <c r="P24" s="503"/>
    </row>
    <row r="25" spans="1:16" s="81" customFormat="1" ht="25.5" customHeight="1" thickBot="1">
      <c r="A25" s="773">
        <v>1948817</v>
      </c>
      <c r="B25" s="773">
        <f>+B20+B22</f>
        <v>1964054</v>
      </c>
      <c r="C25" s="773">
        <v>1873268</v>
      </c>
      <c r="D25" s="774" t="s">
        <v>785</v>
      </c>
      <c r="E25" s="774"/>
      <c r="F25" s="773">
        <f>F20+F23</f>
        <v>1754657</v>
      </c>
      <c r="G25" s="773">
        <f>G20+G23</f>
        <v>0</v>
      </c>
      <c r="H25" s="773">
        <f>H20+H23</f>
        <v>0</v>
      </c>
      <c r="I25" s="775"/>
      <c r="J25" s="943">
        <f>+F25-C25</f>
        <v>-118611</v>
      </c>
      <c r="K25" s="776">
        <f>J25/C25</f>
        <v>-6.3317688659604493E-2</v>
      </c>
      <c r="L25" s="503"/>
      <c r="M25" s="503"/>
      <c r="N25" s="503"/>
      <c r="O25" s="22"/>
      <c r="P25" s="503"/>
    </row>
    <row r="26" spans="1:16" s="81" customFormat="1" ht="16.5" customHeight="1">
      <c r="A26" s="777"/>
      <c r="B26" s="777"/>
      <c r="C26" s="777"/>
      <c r="D26" s="757" t="s">
        <v>786</v>
      </c>
      <c r="E26" s="757"/>
      <c r="F26" s="778"/>
      <c r="G26" s="507"/>
      <c r="H26" s="507"/>
      <c r="I26" s="503"/>
      <c r="J26" s="943"/>
      <c r="K26" s="760"/>
      <c r="L26" s="503"/>
      <c r="M26" s="503"/>
      <c r="N26" s="503"/>
      <c r="O26" s="22"/>
      <c r="P26" s="503"/>
    </row>
    <row r="27" spans="1:16" s="81" customFormat="1" ht="15.75" customHeight="1">
      <c r="A27" s="779"/>
      <c r="B27" s="779"/>
      <c r="C27" s="780"/>
      <c r="D27" s="497"/>
      <c r="E27" s="497"/>
      <c r="F27" s="833"/>
      <c r="G27" s="753"/>
      <c r="H27" s="751"/>
      <c r="I27" s="503"/>
      <c r="J27" s="943"/>
      <c r="K27" s="760"/>
      <c r="L27" s="503"/>
      <c r="M27" s="503"/>
      <c r="N27" s="503"/>
      <c r="O27" s="22"/>
      <c r="P27" s="503"/>
    </row>
    <row r="28" spans="1:16" s="81" customFormat="1" ht="15.75" customHeight="1">
      <c r="A28" s="779"/>
      <c r="B28" s="779"/>
      <c r="C28" s="780"/>
      <c r="D28" s="781" t="s">
        <v>430</v>
      </c>
      <c r="E28" s="781"/>
      <c r="F28" s="752"/>
      <c r="G28" s="753"/>
      <c r="H28" s="751"/>
      <c r="I28" s="503"/>
      <c r="J28" s="943"/>
      <c r="K28" s="760"/>
      <c r="L28" s="503"/>
      <c r="M28" s="503"/>
      <c r="N28" s="503"/>
      <c r="O28" s="28"/>
      <c r="P28" s="503"/>
    </row>
    <row r="29" spans="1:16" s="81" customFormat="1" ht="15.75" customHeight="1">
      <c r="A29" s="780"/>
      <c r="B29" s="780"/>
      <c r="C29" s="780"/>
      <c r="D29" s="728" t="s">
        <v>1024</v>
      </c>
      <c r="E29" s="728"/>
      <c r="F29" s="752"/>
      <c r="G29" s="753"/>
      <c r="H29" s="751"/>
      <c r="I29" s="503"/>
      <c r="J29" s="943"/>
      <c r="K29" s="760"/>
      <c r="L29" s="503"/>
    </row>
    <row r="30" spans="1:16" s="81" customFormat="1" ht="15.75" customHeight="1">
      <c r="A30" s="782">
        <v>326272</v>
      </c>
      <c r="B30" s="782">
        <v>338748</v>
      </c>
      <c r="C30" s="759">
        <v>397094</v>
      </c>
      <c r="D30" s="717" t="s">
        <v>787</v>
      </c>
      <c r="E30" s="728">
        <v>5010</v>
      </c>
      <c r="F30" s="759">
        <f>+'YE Projections'!I22</f>
        <v>425508</v>
      </c>
      <c r="G30" s="759"/>
      <c r="H30" s="759"/>
      <c r="I30" s="503"/>
      <c r="J30" s="943">
        <f>+F30-C30</f>
        <v>28414</v>
      </c>
      <c r="K30" s="760">
        <f>J30/C30</f>
        <v>7.1554845955869389E-2</v>
      </c>
      <c r="L30" s="503"/>
    </row>
    <row r="31" spans="1:16" s="81" customFormat="1" ht="15.75" customHeight="1">
      <c r="A31" s="782">
        <v>181906</v>
      </c>
      <c r="B31" s="782">
        <v>183048</v>
      </c>
      <c r="C31" s="759">
        <v>188115</v>
      </c>
      <c r="D31" s="723" t="s">
        <v>788</v>
      </c>
      <c r="E31" s="813" t="s">
        <v>789</v>
      </c>
      <c r="F31" s="759">
        <f>+'YE Projections'!I23+'YE Projections'!I24+'YE Projections'!I25+'YE Projections'!I26</f>
        <v>249196</v>
      </c>
      <c r="G31" s="759"/>
      <c r="H31" s="759"/>
      <c r="I31" s="503"/>
      <c r="J31" s="943">
        <f>+F31-C31</f>
        <v>61081</v>
      </c>
      <c r="K31" s="760">
        <f>J31/C31</f>
        <v>0.32470031629588286</v>
      </c>
      <c r="L31" s="503"/>
      <c r="M31" s="503"/>
      <c r="O31" s="344"/>
    </row>
    <row r="32" spans="1:16" s="81" customFormat="1" ht="15.75" customHeight="1">
      <c r="A32" s="783">
        <v>0</v>
      </c>
      <c r="B32" s="783">
        <v>0</v>
      </c>
      <c r="C32" s="759">
        <v>1000</v>
      </c>
      <c r="D32" s="784" t="s">
        <v>790</v>
      </c>
      <c r="E32" s="1055">
        <v>5030</v>
      </c>
      <c r="F32" s="759">
        <f>+'YE Projections'!I27</f>
        <v>1000</v>
      </c>
      <c r="G32" s="759"/>
      <c r="H32" s="759"/>
      <c r="I32" s="503"/>
      <c r="J32" s="943">
        <f>+F32-C32</f>
        <v>0</v>
      </c>
      <c r="K32" s="760">
        <f>J32/C32</f>
        <v>0</v>
      </c>
      <c r="L32" s="503"/>
      <c r="M32" s="503"/>
      <c r="O32" s="344"/>
    </row>
    <row r="33" spans="1:15" s="81" customFormat="1" ht="15.75" customHeight="1" thickBot="1">
      <c r="A33" s="783">
        <v>0</v>
      </c>
      <c r="B33" s="783">
        <v>0</v>
      </c>
      <c r="C33" s="759">
        <v>100</v>
      </c>
      <c r="D33" s="784" t="s">
        <v>791</v>
      </c>
      <c r="E33" s="1055">
        <v>5040</v>
      </c>
      <c r="F33" s="759">
        <f>+'YE Projections'!I28</f>
        <v>100</v>
      </c>
      <c r="G33" s="759"/>
      <c r="H33" s="759"/>
      <c r="I33" s="503"/>
      <c r="J33" s="943">
        <f>+F33-C33</f>
        <v>0</v>
      </c>
      <c r="K33" s="760">
        <f>J33/C33</f>
        <v>0</v>
      </c>
      <c r="L33" s="503"/>
      <c r="M33" s="503"/>
      <c r="O33" s="344"/>
    </row>
    <row r="34" spans="1:15" s="81" customFormat="1" ht="22.5" customHeight="1" thickBot="1">
      <c r="A34" s="773">
        <v>508178</v>
      </c>
      <c r="B34" s="773">
        <f>SUM(B29:B33)</f>
        <v>521796</v>
      </c>
      <c r="C34" s="773">
        <v>586309</v>
      </c>
      <c r="D34" s="785" t="s">
        <v>792</v>
      </c>
      <c r="E34" s="785"/>
      <c r="F34" s="773">
        <f>SUM(F30:F33)</f>
        <v>675804</v>
      </c>
      <c r="G34" s="773">
        <f>SUM(G30:G33)</f>
        <v>0</v>
      </c>
      <c r="H34" s="773">
        <f>SUM(H30:H33)</f>
        <v>0</v>
      </c>
      <c r="I34" s="775"/>
      <c r="J34" s="943">
        <f>+F34-C34</f>
        <v>89495</v>
      </c>
      <c r="K34" s="760">
        <f>J34/C34</f>
        <v>0.15264135464405287</v>
      </c>
      <c r="L34" s="786"/>
      <c r="M34" s="503"/>
      <c r="O34" s="344"/>
    </row>
    <row r="35" spans="1:15" s="81" customFormat="1" ht="15.75" customHeight="1">
      <c r="A35" s="507"/>
      <c r="B35" s="507"/>
      <c r="C35" s="507"/>
      <c r="E35" s="316"/>
      <c r="F35" s="787"/>
      <c r="G35" s="507"/>
      <c r="H35" s="507"/>
      <c r="I35" s="503"/>
      <c r="J35" s="943"/>
      <c r="K35" s="760"/>
      <c r="L35" s="788"/>
    </row>
    <row r="36" spans="1:15" s="81" customFormat="1" ht="15.75" customHeight="1">
      <c r="A36" s="507"/>
      <c r="B36" s="507"/>
      <c r="C36" s="507"/>
      <c r="D36" s="789" t="s">
        <v>431</v>
      </c>
      <c r="E36" s="789"/>
      <c r="F36" s="787"/>
      <c r="G36" s="507"/>
      <c r="H36" s="507"/>
      <c r="I36" s="503"/>
      <c r="J36" s="943"/>
      <c r="K36" s="760"/>
      <c r="L36" s="503"/>
    </row>
    <row r="37" spans="1:15" s="81" customFormat="1" ht="15.75" customHeight="1">
      <c r="A37" s="793">
        <v>910</v>
      </c>
      <c r="B37" s="793">
        <v>1073</v>
      </c>
      <c r="C37" s="759">
        <v>1000</v>
      </c>
      <c r="D37" s="719" t="s">
        <v>798</v>
      </c>
      <c r="E37" s="1056">
        <v>6290</v>
      </c>
      <c r="F37" s="759">
        <f>+'YE Projections'!I66</f>
        <v>1000</v>
      </c>
      <c r="G37" s="759"/>
      <c r="H37" s="759"/>
      <c r="I37" s="503"/>
      <c r="J37" s="943">
        <f t="shared" ref="J37:J68" si="4">+F37-C37</f>
        <v>0</v>
      </c>
      <c r="K37" s="760">
        <f t="shared" ref="K37:K68" si="5">J37/C37</f>
        <v>0</v>
      </c>
      <c r="L37" s="503"/>
    </row>
    <row r="38" spans="1:15" s="81" customFormat="1" ht="15.75" customHeight="1">
      <c r="A38" s="793">
        <v>439</v>
      </c>
      <c r="B38" s="793">
        <v>439</v>
      </c>
      <c r="C38" s="759">
        <v>450</v>
      </c>
      <c r="D38" s="716" t="s">
        <v>800</v>
      </c>
      <c r="E38" s="742">
        <v>6045</v>
      </c>
      <c r="F38" s="759">
        <f>+'YE Projections'!I38</f>
        <v>800</v>
      </c>
      <c r="G38" s="759"/>
      <c r="H38" s="759"/>
      <c r="I38" s="503"/>
      <c r="J38" s="943">
        <f t="shared" si="4"/>
        <v>350</v>
      </c>
      <c r="K38" s="760">
        <f t="shared" si="5"/>
        <v>0.77777777777777779</v>
      </c>
      <c r="L38" s="503"/>
      <c r="M38" s="791"/>
      <c r="O38" s="344"/>
    </row>
    <row r="39" spans="1:15" s="81" customFormat="1" ht="15.75" customHeight="1">
      <c r="A39" s="758">
        <v>5372</v>
      </c>
      <c r="B39" s="758">
        <v>5003</v>
      </c>
      <c r="C39" s="759">
        <v>6500</v>
      </c>
      <c r="D39" s="733" t="s">
        <v>795</v>
      </c>
      <c r="E39" s="728">
        <v>6033</v>
      </c>
      <c r="F39" s="759">
        <f>+'YE Projections'!I35</f>
        <v>6500</v>
      </c>
      <c r="G39" s="759"/>
      <c r="H39" s="759"/>
      <c r="I39" s="503"/>
      <c r="J39" s="943">
        <f t="shared" si="4"/>
        <v>0</v>
      </c>
      <c r="K39" s="760">
        <f t="shared" si="5"/>
        <v>0</v>
      </c>
      <c r="L39" s="790"/>
    </row>
    <row r="40" spans="1:15" s="81" customFormat="1" ht="15.75" customHeight="1">
      <c r="A40" s="758">
        <v>2797</v>
      </c>
      <c r="B40" s="758">
        <v>2110</v>
      </c>
      <c r="C40" s="759">
        <v>3000</v>
      </c>
      <c r="D40" s="733" t="s">
        <v>796</v>
      </c>
      <c r="E40" s="728">
        <v>6034</v>
      </c>
      <c r="F40" s="759">
        <f>+'YE Projections'!I36</f>
        <v>3000</v>
      </c>
      <c r="G40" s="759"/>
      <c r="H40" s="759"/>
      <c r="I40" s="503"/>
      <c r="J40" s="943">
        <f t="shared" si="4"/>
        <v>0</v>
      </c>
      <c r="K40" s="760">
        <f t="shared" si="5"/>
        <v>0</v>
      </c>
      <c r="L40" s="790"/>
    </row>
    <row r="41" spans="1:15" s="81" customFormat="1" ht="15.75" customHeight="1">
      <c r="A41" s="793">
        <v>7700</v>
      </c>
      <c r="B41" s="793">
        <v>7700</v>
      </c>
      <c r="C41" s="759">
        <v>7700</v>
      </c>
      <c r="D41" s="717" t="s">
        <v>799</v>
      </c>
      <c r="E41" s="728">
        <v>6010</v>
      </c>
      <c r="F41" s="759">
        <f>+'YE Projections'!I31</f>
        <v>8000</v>
      </c>
      <c r="G41" s="759"/>
      <c r="H41" s="759"/>
      <c r="I41" s="503"/>
      <c r="J41" s="943">
        <f t="shared" si="4"/>
        <v>300</v>
      </c>
      <c r="K41" s="760">
        <f t="shared" si="5"/>
        <v>3.896103896103896E-2</v>
      </c>
      <c r="L41" s="503"/>
      <c r="M41" s="791"/>
      <c r="O41" s="344"/>
    </row>
    <row r="42" spans="1:15" s="81" customFormat="1" ht="15.75" customHeight="1">
      <c r="A42" s="793">
        <v>481</v>
      </c>
      <c r="B42" s="793">
        <v>388</v>
      </c>
      <c r="C42" s="759">
        <v>500</v>
      </c>
      <c r="D42" s="717" t="s">
        <v>801</v>
      </c>
      <c r="E42" s="728">
        <v>6300</v>
      </c>
      <c r="F42" s="759">
        <f>+'YE Projections'!I68</f>
        <v>515</v>
      </c>
      <c r="G42" s="759"/>
      <c r="H42" s="759"/>
      <c r="I42" s="503"/>
      <c r="J42" s="943">
        <f t="shared" si="4"/>
        <v>15</v>
      </c>
      <c r="K42" s="760">
        <f t="shared" si="5"/>
        <v>0.03</v>
      </c>
      <c r="L42" s="503"/>
      <c r="M42" s="791"/>
      <c r="O42" s="344"/>
    </row>
    <row r="43" spans="1:15" s="81" customFormat="1" ht="15.75" customHeight="1">
      <c r="A43" s="793">
        <v>279</v>
      </c>
      <c r="B43" s="793">
        <v>1805</v>
      </c>
      <c r="C43" s="759">
        <v>6980</v>
      </c>
      <c r="D43" s="717" t="s">
        <v>802</v>
      </c>
      <c r="E43" s="728">
        <v>6020</v>
      </c>
      <c r="F43" s="759">
        <f>+'YE Projections'!I32</f>
        <v>6980</v>
      </c>
      <c r="G43" s="759"/>
      <c r="H43" s="759"/>
      <c r="I43" s="503"/>
      <c r="J43" s="943">
        <f t="shared" si="4"/>
        <v>0</v>
      </c>
      <c r="K43" s="760">
        <f t="shared" si="5"/>
        <v>0</v>
      </c>
      <c r="L43" s="503"/>
      <c r="M43" s="791"/>
      <c r="O43" s="344"/>
    </row>
    <row r="44" spans="1:15" s="81" customFormat="1" ht="15.75" customHeight="1">
      <c r="A44" s="758">
        <v>30131</v>
      </c>
      <c r="B44" s="758">
        <v>28904</v>
      </c>
      <c r="C44" s="759">
        <v>30000</v>
      </c>
      <c r="D44" s="733" t="s">
        <v>793</v>
      </c>
      <c r="E44" s="728">
        <v>6031</v>
      </c>
      <c r="F44" s="759">
        <f>+'YE Projections'!I33</f>
        <v>30000</v>
      </c>
      <c r="G44" s="759"/>
      <c r="H44" s="759"/>
      <c r="I44" s="503"/>
      <c r="J44" s="943">
        <f t="shared" si="4"/>
        <v>0</v>
      </c>
      <c r="K44" s="760">
        <f t="shared" si="5"/>
        <v>0</v>
      </c>
      <c r="L44" s="790"/>
    </row>
    <row r="45" spans="1:15" s="81" customFormat="1" ht="15.75" customHeight="1">
      <c r="A45" s="758">
        <v>10080</v>
      </c>
      <c r="B45" s="758">
        <v>14167</v>
      </c>
      <c r="C45" s="759">
        <v>18000</v>
      </c>
      <c r="D45" s="733" t="s">
        <v>794</v>
      </c>
      <c r="E45" s="728">
        <v>6032</v>
      </c>
      <c r="F45" s="759">
        <f>+'YE Projections'!I34</f>
        <v>18000</v>
      </c>
      <c r="G45" s="759"/>
      <c r="H45" s="759"/>
      <c r="I45" s="503"/>
      <c r="J45" s="943">
        <f t="shared" si="4"/>
        <v>0</v>
      </c>
      <c r="K45" s="760">
        <f t="shared" si="5"/>
        <v>0</v>
      </c>
      <c r="L45" s="790"/>
    </row>
    <row r="46" spans="1:15" s="81" customFormat="1" ht="15.75" customHeight="1">
      <c r="A46" s="793">
        <v>2387</v>
      </c>
      <c r="B46" s="793">
        <v>2151</v>
      </c>
      <c r="C46" s="759">
        <v>3000</v>
      </c>
      <c r="D46" s="733" t="s">
        <v>803</v>
      </c>
      <c r="E46" s="728">
        <v>6410</v>
      </c>
      <c r="F46" s="759">
        <f>+'YE Projections'!I76</f>
        <v>3000</v>
      </c>
      <c r="G46" s="759"/>
      <c r="H46" s="759"/>
      <c r="I46" s="503"/>
      <c r="J46" s="943">
        <f t="shared" si="4"/>
        <v>0</v>
      </c>
      <c r="K46" s="760">
        <f t="shared" si="5"/>
        <v>0</v>
      </c>
      <c r="L46" s="503"/>
      <c r="M46" s="503"/>
      <c r="O46" s="344"/>
    </row>
    <row r="47" spans="1:15" s="81" customFormat="1" ht="15.75" customHeight="1">
      <c r="A47" s="793">
        <v>6540</v>
      </c>
      <c r="B47" s="793">
        <v>9665</v>
      </c>
      <c r="C47" s="759">
        <v>10500</v>
      </c>
      <c r="D47" s="717" t="s">
        <v>804</v>
      </c>
      <c r="E47" s="728">
        <v>6390</v>
      </c>
      <c r="F47" s="759">
        <f>+'YE Projections'!I75</f>
        <v>27000</v>
      </c>
      <c r="G47" s="759"/>
      <c r="H47" s="759"/>
      <c r="I47" s="503"/>
      <c r="J47" s="943">
        <f t="shared" si="4"/>
        <v>16500</v>
      </c>
      <c r="K47" s="760">
        <f t="shared" si="5"/>
        <v>1.5714285714285714</v>
      </c>
      <c r="L47" s="503"/>
      <c r="M47" s="503"/>
      <c r="O47" s="344"/>
    </row>
    <row r="48" spans="1:15" s="81" customFormat="1" ht="15.75" customHeight="1">
      <c r="A48" s="793">
        <v>1190</v>
      </c>
      <c r="B48" s="793">
        <v>1270</v>
      </c>
      <c r="C48" s="759">
        <v>3300</v>
      </c>
      <c r="D48" s="717" t="s">
        <v>805</v>
      </c>
      <c r="E48" s="728">
        <v>6060</v>
      </c>
      <c r="F48" s="759">
        <f>+'YE Projections'!I39</f>
        <v>3300</v>
      </c>
      <c r="G48" s="759"/>
      <c r="H48" s="759"/>
      <c r="I48" s="503"/>
      <c r="J48" s="943">
        <f t="shared" si="4"/>
        <v>0</v>
      </c>
      <c r="K48" s="760">
        <f t="shared" si="5"/>
        <v>0</v>
      </c>
      <c r="L48" s="503"/>
      <c r="M48" s="503"/>
      <c r="O48" s="344"/>
    </row>
    <row r="49" spans="1:15" s="81" customFormat="1" ht="15.75" customHeight="1">
      <c r="A49" s="793">
        <v>10005</v>
      </c>
      <c r="B49" s="793">
        <v>11049</v>
      </c>
      <c r="C49" s="759">
        <v>13820</v>
      </c>
      <c r="D49" s="717" t="s">
        <v>806</v>
      </c>
      <c r="E49" s="728">
        <v>6342</v>
      </c>
      <c r="F49" s="759">
        <f>+'YE Projections'!I72</f>
        <v>13820</v>
      </c>
      <c r="G49" s="759"/>
      <c r="H49" s="759"/>
      <c r="I49" s="503"/>
      <c r="J49" s="943">
        <f t="shared" si="4"/>
        <v>0</v>
      </c>
      <c r="K49" s="760">
        <f t="shared" si="5"/>
        <v>0</v>
      </c>
      <c r="L49" s="503"/>
      <c r="M49" s="503"/>
      <c r="O49" s="344"/>
    </row>
    <row r="50" spans="1:15" s="81" customFormat="1" ht="15.75" customHeight="1">
      <c r="A50" s="793">
        <v>605</v>
      </c>
      <c r="B50" s="793">
        <v>573</v>
      </c>
      <c r="C50" s="759">
        <v>1000</v>
      </c>
      <c r="D50" s="717" t="s">
        <v>807</v>
      </c>
      <c r="E50" s="728">
        <v>6341</v>
      </c>
      <c r="F50" s="759">
        <f>+'YE Projections'!I71</f>
        <v>1000</v>
      </c>
      <c r="G50" s="759"/>
      <c r="H50" s="759"/>
      <c r="I50" s="503"/>
      <c r="J50" s="943">
        <f t="shared" si="4"/>
        <v>0</v>
      </c>
      <c r="K50" s="760">
        <f t="shared" si="5"/>
        <v>0</v>
      </c>
      <c r="L50" s="503"/>
      <c r="M50" s="503"/>
      <c r="O50" s="344"/>
    </row>
    <row r="51" spans="1:15" s="81" customFormat="1" ht="15.75" customHeight="1">
      <c r="A51" s="793">
        <v>2157</v>
      </c>
      <c r="B51" s="793">
        <v>1658</v>
      </c>
      <c r="C51" s="759">
        <v>2130</v>
      </c>
      <c r="D51" s="717" t="s">
        <v>808</v>
      </c>
      <c r="E51" s="728">
        <v>6070</v>
      </c>
      <c r="F51" s="759">
        <f>+'YE Projections'!I41</f>
        <v>2660</v>
      </c>
      <c r="G51" s="759"/>
      <c r="H51" s="759"/>
      <c r="I51" s="503"/>
      <c r="J51" s="943">
        <f t="shared" si="4"/>
        <v>530</v>
      </c>
      <c r="K51" s="760">
        <f t="shared" si="5"/>
        <v>0.24882629107981222</v>
      </c>
      <c r="L51" s="503"/>
      <c r="M51" s="503"/>
      <c r="O51" s="344"/>
    </row>
    <row r="52" spans="1:15" s="81" customFormat="1" ht="15.75" customHeight="1">
      <c r="A52" s="793">
        <v>0</v>
      </c>
      <c r="B52" s="793">
        <v>966</v>
      </c>
      <c r="C52" s="759">
        <v>100</v>
      </c>
      <c r="D52" s="717" t="s">
        <v>809</v>
      </c>
      <c r="E52" s="728">
        <v>6080</v>
      </c>
      <c r="F52" s="759">
        <f>+'YE Projections'!I42</f>
        <v>7000</v>
      </c>
      <c r="G52" s="759"/>
      <c r="H52" s="759"/>
      <c r="I52" s="503"/>
      <c r="J52" s="943">
        <f t="shared" si="4"/>
        <v>6900</v>
      </c>
      <c r="K52" s="760">
        <f t="shared" si="5"/>
        <v>69</v>
      </c>
      <c r="L52" s="503"/>
      <c r="M52" s="503"/>
      <c r="O52" s="344"/>
    </row>
    <row r="53" spans="1:15" s="81" customFormat="1" ht="15.75" customHeight="1">
      <c r="A53" s="793">
        <v>14606</v>
      </c>
      <c r="B53" s="793">
        <v>15580</v>
      </c>
      <c r="C53" s="759">
        <v>18000</v>
      </c>
      <c r="D53" s="717" t="s">
        <v>810</v>
      </c>
      <c r="E53" s="728">
        <v>6090</v>
      </c>
      <c r="F53" s="759">
        <f>+'YE Projections'!I43</f>
        <v>19200</v>
      </c>
      <c r="G53" s="759"/>
      <c r="H53" s="759"/>
      <c r="I53" s="503"/>
      <c r="J53" s="943">
        <f t="shared" si="4"/>
        <v>1200</v>
      </c>
      <c r="K53" s="760">
        <f t="shared" si="5"/>
        <v>6.6666666666666666E-2</v>
      </c>
      <c r="L53" s="503"/>
      <c r="M53" s="503"/>
      <c r="O53" s="344"/>
    </row>
    <row r="54" spans="1:15" s="81" customFormat="1" ht="15.75" customHeight="1">
      <c r="A54" s="758">
        <v>7009</v>
      </c>
      <c r="B54" s="758">
        <v>6824</v>
      </c>
      <c r="C54" s="759">
        <v>8500</v>
      </c>
      <c r="D54" s="733" t="s">
        <v>797</v>
      </c>
      <c r="E54" s="728">
        <v>6036</v>
      </c>
      <c r="F54" s="759">
        <f>+'YE Projections'!I37</f>
        <v>12000</v>
      </c>
      <c r="G54" s="759"/>
      <c r="H54" s="759"/>
      <c r="I54" s="503"/>
      <c r="J54" s="943">
        <f t="shared" si="4"/>
        <v>3500</v>
      </c>
      <c r="K54" s="760">
        <f t="shared" si="5"/>
        <v>0.41176470588235292</v>
      </c>
      <c r="L54" s="790"/>
    </row>
    <row r="55" spans="1:15" s="81" customFormat="1" ht="15.75" customHeight="1">
      <c r="A55" s="793">
        <v>604</v>
      </c>
      <c r="B55" s="793">
        <v>1823</v>
      </c>
      <c r="C55" s="759">
        <v>2500</v>
      </c>
      <c r="D55" s="717" t="s">
        <v>811</v>
      </c>
      <c r="E55" s="728">
        <v>6215</v>
      </c>
      <c r="F55" s="759">
        <f>+'YE Projections'!I57</f>
        <v>2500</v>
      </c>
      <c r="G55" s="759"/>
      <c r="H55" s="759"/>
      <c r="I55" s="503"/>
      <c r="J55" s="943">
        <f t="shared" si="4"/>
        <v>0</v>
      </c>
      <c r="K55" s="760">
        <f t="shared" si="5"/>
        <v>0</v>
      </c>
      <c r="L55" s="503"/>
      <c r="M55" s="503"/>
      <c r="O55" s="344"/>
    </row>
    <row r="56" spans="1:15" s="81" customFormat="1" ht="15.75" customHeight="1">
      <c r="A56" s="793">
        <v>582</v>
      </c>
      <c r="B56" s="793">
        <v>616</v>
      </c>
      <c r="C56" s="759">
        <v>660</v>
      </c>
      <c r="D56" s="717" t="s">
        <v>812</v>
      </c>
      <c r="E56" s="728">
        <v>6110</v>
      </c>
      <c r="F56" s="759">
        <f>+'YE Projections'!I44</f>
        <v>720</v>
      </c>
      <c r="G56" s="759"/>
      <c r="H56" s="759"/>
      <c r="I56" s="503"/>
      <c r="J56" s="943">
        <f t="shared" si="4"/>
        <v>60</v>
      </c>
      <c r="K56" s="760">
        <f t="shared" si="5"/>
        <v>9.0909090909090912E-2</v>
      </c>
      <c r="L56" s="503"/>
      <c r="M56" s="503"/>
      <c r="O56" s="344"/>
    </row>
    <row r="57" spans="1:15" s="81" customFormat="1" ht="15.75" customHeight="1">
      <c r="A57" s="793">
        <v>16914</v>
      </c>
      <c r="B57" s="793">
        <v>7374</v>
      </c>
      <c r="C57" s="759">
        <v>11000</v>
      </c>
      <c r="D57" s="717" t="s">
        <v>813</v>
      </c>
      <c r="E57" s="728">
        <v>6356</v>
      </c>
      <c r="F57" s="759">
        <f>+'YE Projections'!I73</f>
        <v>12000</v>
      </c>
      <c r="G57" s="759"/>
      <c r="H57" s="759"/>
      <c r="I57" s="503"/>
      <c r="J57" s="943">
        <f t="shared" si="4"/>
        <v>1000</v>
      </c>
      <c r="K57" s="760">
        <f t="shared" si="5"/>
        <v>9.0909090909090912E-2</v>
      </c>
      <c r="L57" s="503"/>
      <c r="M57" s="503"/>
      <c r="O57" s="344"/>
    </row>
    <row r="58" spans="1:15" s="81" customFormat="1" ht="15.75" customHeight="1">
      <c r="A58" s="793">
        <v>2729</v>
      </c>
      <c r="B58" s="793">
        <v>2086</v>
      </c>
      <c r="C58" s="759">
        <v>4200</v>
      </c>
      <c r="D58" s="717" t="s">
        <v>814</v>
      </c>
      <c r="E58" s="728">
        <v>6220</v>
      </c>
      <c r="F58" s="759">
        <f>+'YE Projections'!I58</f>
        <v>4200</v>
      </c>
      <c r="G58" s="759"/>
      <c r="H58" s="759"/>
      <c r="I58" s="503"/>
      <c r="J58" s="943">
        <f t="shared" si="4"/>
        <v>0</v>
      </c>
      <c r="K58" s="760">
        <f t="shared" si="5"/>
        <v>0</v>
      </c>
      <c r="L58" s="503"/>
      <c r="M58" s="503"/>
      <c r="O58" s="344"/>
    </row>
    <row r="59" spans="1:15" s="81" customFormat="1" ht="15.75" customHeight="1">
      <c r="A59" s="793">
        <v>5412</v>
      </c>
      <c r="B59" s="793">
        <v>5339</v>
      </c>
      <c r="C59" s="759">
        <v>7000</v>
      </c>
      <c r="D59" s="717" t="s">
        <v>815</v>
      </c>
      <c r="E59" s="728">
        <v>6120</v>
      </c>
      <c r="F59" s="759">
        <f>+'YE Projections'!I45</f>
        <v>8000</v>
      </c>
      <c r="G59" s="759"/>
      <c r="H59" s="759"/>
      <c r="I59" s="775"/>
      <c r="J59" s="943">
        <f t="shared" si="4"/>
        <v>1000</v>
      </c>
      <c r="K59" s="760">
        <f t="shared" si="5"/>
        <v>0.14285714285714285</v>
      </c>
      <c r="L59" s="503"/>
      <c r="M59" s="503"/>
      <c r="O59" s="344"/>
    </row>
    <row r="60" spans="1:15" s="81" customFormat="1" ht="15.75" customHeight="1">
      <c r="A60" s="793">
        <v>2327</v>
      </c>
      <c r="B60" s="793">
        <v>2551</v>
      </c>
      <c r="C60" s="759">
        <v>2600</v>
      </c>
      <c r="D60" s="717" t="s">
        <v>816</v>
      </c>
      <c r="E60" s="728">
        <v>6310</v>
      </c>
      <c r="F60" s="759">
        <f>+'YE Projections'!I69</f>
        <v>2600</v>
      </c>
      <c r="G60" s="759"/>
      <c r="H60" s="759"/>
      <c r="I60" s="503"/>
      <c r="J60" s="943">
        <f t="shared" si="4"/>
        <v>0</v>
      </c>
      <c r="K60" s="760">
        <f t="shared" si="5"/>
        <v>0</v>
      </c>
      <c r="L60" s="503"/>
      <c r="M60" s="503"/>
      <c r="O60" s="344"/>
    </row>
    <row r="61" spans="1:15" s="81" customFormat="1" ht="15.75" customHeight="1">
      <c r="A61" s="793">
        <v>3600</v>
      </c>
      <c r="B61" s="793">
        <v>3600</v>
      </c>
      <c r="C61" s="759">
        <v>3600</v>
      </c>
      <c r="D61" s="719" t="s">
        <v>817</v>
      </c>
      <c r="E61" s="80">
        <v>6130</v>
      </c>
      <c r="F61" s="759">
        <f>+'YE Projections'!I46</f>
        <v>3600</v>
      </c>
      <c r="G61" s="759"/>
      <c r="H61" s="759"/>
      <c r="I61" s="503"/>
      <c r="J61" s="943">
        <f t="shared" si="4"/>
        <v>0</v>
      </c>
      <c r="K61" s="760">
        <f t="shared" si="5"/>
        <v>0</v>
      </c>
      <c r="L61" s="503"/>
      <c r="M61" s="503"/>
      <c r="O61" s="344"/>
    </row>
    <row r="62" spans="1:15" s="81" customFormat="1" ht="15.75" customHeight="1">
      <c r="A62" s="793">
        <v>10072</v>
      </c>
      <c r="B62" s="793">
        <v>225</v>
      </c>
      <c r="C62" s="759">
        <v>1000</v>
      </c>
      <c r="D62" s="717" t="s">
        <v>818</v>
      </c>
      <c r="E62" s="728">
        <v>6160</v>
      </c>
      <c r="F62" s="759">
        <f>+'YE Projections'!I50</f>
        <v>1500</v>
      </c>
      <c r="G62" s="759"/>
      <c r="H62" s="759"/>
      <c r="I62" s="503"/>
      <c r="J62" s="943">
        <f t="shared" si="4"/>
        <v>500</v>
      </c>
      <c r="K62" s="760">
        <f t="shared" si="5"/>
        <v>0.5</v>
      </c>
      <c r="L62" s="503"/>
      <c r="M62" s="503"/>
      <c r="O62" s="344"/>
    </row>
    <row r="63" spans="1:15" s="81" customFormat="1" ht="15.75" customHeight="1">
      <c r="A63" s="793">
        <v>168</v>
      </c>
      <c r="B63" s="793">
        <v>3300</v>
      </c>
      <c r="C63" s="759">
        <v>2500</v>
      </c>
      <c r="D63" s="717" t="s">
        <v>819</v>
      </c>
      <c r="E63" s="728">
        <v>6430</v>
      </c>
      <c r="F63" s="759">
        <f>+'YE Projections'!I78</f>
        <v>2500</v>
      </c>
      <c r="G63" s="759"/>
      <c r="H63" s="759"/>
      <c r="I63" s="503"/>
      <c r="J63" s="943">
        <f t="shared" si="4"/>
        <v>0</v>
      </c>
      <c r="K63" s="760">
        <f t="shared" si="5"/>
        <v>0</v>
      </c>
      <c r="L63" s="503"/>
      <c r="M63" s="503"/>
      <c r="O63" s="344"/>
    </row>
    <row r="64" spans="1:15" s="81" customFormat="1" ht="15.75" customHeight="1">
      <c r="A64" s="793">
        <v>2639</v>
      </c>
      <c r="B64" s="793">
        <v>2764</v>
      </c>
      <c r="C64" s="759">
        <v>2900</v>
      </c>
      <c r="D64" s="717" t="s">
        <v>820</v>
      </c>
      <c r="E64" s="728">
        <v>6150</v>
      </c>
      <c r="F64" s="759">
        <f>+'YE Projections'!I49</f>
        <v>3032</v>
      </c>
      <c r="G64" s="759"/>
      <c r="H64" s="759"/>
      <c r="I64" s="503"/>
      <c r="J64" s="943">
        <f t="shared" si="4"/>
        <v>132</v>
      </c>
      <c r="K64" s="760">
        <f t="shared" si="5"/>
        <v>4.5517241379310347E-2</v>
      </c>
      <c r="L64" s="503"/>
      <c r="M64" s="503"/>
      <c r="O64" s="344"/>
    </row>
    <row r="65" spans="1:15" s="81" customFormat="1" ht="15.75" customHeight="1">
      <c r="A65" s="793">
        <v>3256</v>
      </c>
      <c r="B65" s="793">
        <v>3852</v>
      </c>
      <c r="C65" s="759">
        <v>4025</v>
      </c>
      <c r="D65" s="717" t="s">
        <v>821</v>
      </c>
      <c r="E65" s="728">
        <v>6170</v>
      </c>
      <c r="F65" s="759">
        <f>+'YE Projections'!I52</f>
        <v>4240</v>
      </c>
      <c r="G65" s="759"/>
      <c r="H65" s="759"/>
      <c r="I65" s="503"/>
      <c r="J65" s="943">
        <f t="shared" si="4"/>
        <v>215</v>
      </c>
      <c r="K65" s="760">
        <f t="shared" si="5"/>
        <v>5.3416149068322982E-2</v>
      </c>
      <c r="L65" s="503"/>
      <c r="M65" s="503"/>
      <c r="O65" s="344"/>
    </row>
    <row r="66" spans="1:15" s="81" customFormat="1" ht="15.75" customHeight="1">
      <c r="A66" s="793">
        <v>595</v>
      </c>
      <c r="B66" s="793">
        <v>447</v>
      </c>
      <c r="C66" s="759">
        <v>600</v>
      </c>
      <c r="D66" s="717" t="s">
        <v>168</v>
      </c>
      <c r="E66" s="728">
        <v>6180</v>
      </c>
      <c r="F66" s="759">
        <f>+'YE Projections'!I53</f>
        <v>825</v>
      </c>
      <c r="G66" s="759"/>
      <c r="H66" s="759"/>
      <c r="I66" s="503"/>
      <c r="J66" s="943">
        <f t="shared" si="4"/>
        <v>225</v>
      </c>
      <c r="K66" s="760">
        <f t="shared" si="5"/>
        <v>0.375</v>
      </c>
      <c r="L66" s="503"/>
      <c r="M66" s="503"/>
      <c r="O66" s="344"/>
    </row>
    <row r="67" spans="1:15" s="81" customFormat="1" ht="15.75" customHeight="1">
      <c r="A67" s="793">
        <v>1401</v>
      </c>
      <c r="B67" s="793">
        <v>1102</v>
      </c>
      <c r="C67" s="759">
        <v>3000</v>
      </c>
      <c r="D67" s="717" t="s">
        <v>822</v>
      </c>
      <c r="E67" s="728">
        <v>6065</v>
      </c>
      <c r="F67" s="759">
        <f>+'YE Projections'!I40</f>
        <v>3000</v>
      </c>
      <c r="G67" s="759"/>
      <c r="H67" s="759"/>
      <c r="I67" s="503"/>
      <c r="J67" s="943">
        <f t="shared" si="4"/>
        <v>0</v>
      </c>
      <c r="K67" s="760">
        <f t="shared" si="5"/>
        <v>0</v>
      </c>
      <c r="L67" s="503"/>
      <c r="M67" s="503"/>
      <c r="O67" s="344"/>
    </row>
    <row r="68" spans="1:15" s="81" customFormat="1" ht="15.75" customHeight="1">
      <c r="A68" s="758">
        <v>229</v>
      </c>
      <c r="B68" s="758">
        <v>0</v>
      </c>
      <c r="C68" s="758">
        <v>1000</v>
      </c>
      <c r="D68" s="717" t="s">
        <v>823</v>
      </c>
      <c r="E68" s="728">
        <v>6165</v>
      </c>
      <c r="F68" s="759">
        <f>+'YE Projections'!I51</f>
        <v>2000</v>
      </c>
      <c r="G68" s="759"/>
      <c r="H68" s="759"/>
      <c r="I68" s="503"/>
      <c r="J68" s="943">
        <f t="shared" si="4"/>
        <v>1000</v>
      </c>
      <c r="K68" s="760">
        <f t="shared" si="5"/>
        <v>1</v>
      </c>
      <c r="L68" s="503"/>
      <c r="M68" s="503"/>
      <c r="O68" s="344"/>
    </row>
    <row r="69" spans="1:15" s="81" customFormat="1" ht="15.75" customHeight="1">
      <c r="A69" s="793">
        <v>162</v>
      </c>
      <c r="B69" s="793">
        <v>561</v>
      </c>
      <c r="C69" s="759">
        <v>950</v>
      </c>
      <c r="D69" s="717" t="s">
        <v>824</v>
      </c>
      <c r="E69" s="728">
        <v>6190</v>
      </c>
      <c r="F69" s="759">
        <f>+'YE Projections'!I54</f>
        <v>950</v>
      </c>
      <c r="G69" s="759"/>
      <c r="H69" s="759"/>
      <c r="I69" s="503"/>
      <c r="J69" s="943">
        <f t="shared" ref="J69:J86" si="6">+F69-C69</f>
        <v>0</v>
      </c>
      <c r="K69" s="760">
        <f t="shared" ref="K69:K86" si="7">J69/C69</f>
        <v>0</v>
      </c>
      <c r="L69" s="503"/>
      <c r="M69" s="503"/>
      <c r="O69" s="344"/>
    </row>
    <row r="70" spans="1:15" s="81" customFormat="1" ht="15.75" customHeight="1">
      <c r="A70" s="793">
        <v>0</v>
      </c>
      <c r="B70" s="793">
        <v>0</v>
      </c>
      <c r="C70" s="759">
        <v>100</v>
      </c>
      <c r="D70" s="717" t="s">
        <v>825</v>
      </c>
      <c r="E70" s="728">
        <v>6440</v>
      </c>
      <c r="F70" s="759">
        <f>+'YE Projections'!I79</f>
        <v>1000</v>
      </c>
      <c r="G70" s="759"/>
      <c r="H70" s="759"/>
      <c r="I70" s="503"/>
      <c r="J70" s="943">
        <f t="shared" si="6"/>
        <v>900</v>
      </c>
      <c r="K70" s="760">
        <f t="shared" si="7"/>
        <v>9</v>
      </c>
      <c r="L70" s="503"/>
      <c r="M70" s="503"/>
      <c r="O70" s="344"/>
    </row>
    <row r="71" spans="1:15" s="81" customFormat="1" ht="15.75" customHeight="1">
      <c r="A71" s="793">
        <v>130</v>
      </c>
      <c r="B71" s="793">
        <v>140</v>
      </c>
      <c r="C71" s="759">
        <v>150</v>
      </c>
      <c r="D71" s="717" t="s">
        <v>826</v>
      </c>
      <c r="E71" s="728">
        <v>6200</v>
      </c>
      <c r="F71" s="759">
        <f>+'YE Projections'!I55</f>
        <v>160</v>
      </c>
      <c r="G71" s="759"/>
      <c r="H71" s="759"/>
      <c r="I71" s="503"/>
      <c r="J71" s="943">
        <f t="shared" si="6"/>
        <v>10</v>
      </c>
      <c r="K71" s="760">
        <f t="shared" si="7"/>
        <v>6.6666666666666666E-2</v>
      </c>
      <c r="L71" s="503"/>
      <c r="M71" s="503"/>
      <c r="O71" s="344"/>
    </row>
    <row r="72" spans="1:15" s="81" customFormat="1" ht="15.75" customHeight="1">
      <c r="A72" s="793">
        <v>1583</v>
      </c>
      <c r="B72" s="793">
        <v>3810</v>
      </c>
      <c r="C72" s="759">
        <v>5000</v>
      </c>
      <c r="D72" s="717" t="s">
        <v>827</v>
      </c>
      <c r="E72" s="728">
        <v>6210</v>
      </c>
      <c r="F72" s="759">
        <f>+'YE Projections'!I56</f>
        <v>9500</v>
      </c>
      <c r="G72" s="759"/>
      <c r="H72" s="759"/>
      <c r="I72" s="503"/>
      <c r="J72" s="943">
        <f t="shared" si="6"/>
        <v>4500</v>
      </c>
      <c r="K72" s="760">
        <f t="shared" si="7"/>
        <v>0.9</v>
      </c>
      <c r="L72" s="503"/>
      <c r="M72" s="503"/>
      <c r="O72" s="344"/>
    </row>
    <row r="73" spans="1:15" s="81" customFormat="1" ht="15.75" customHeight="1">
      <c r="A73" s="793">
        <v>1472</v>
      </c>
      <c r="B73" s="793">
        <v>373</v>
      </c>
      <c r="C73" s="759">
        <v>3400</v>
      </c>
      <c r="D73" s="717" t="s">
        <v>828</v>
      </c>
      <c r="E73" s="728">
        <v>6295</v>
      </c>
      <c r="F73" s="759">
        <f>+'YE Projections'!I67</f>
        <v>1600</v>
      </c>
      <c r="G73" s="759"/>
      <c r="H73" s="759"/>
      <c r="I73" s="503"/>
      <c r="J73" s="943">
        <f t="shared" si="6"/>
        <v>-1800</v>
      </c>
      <c r="K73" s="760">
        <f t="shared" si="7"/>
        <v>-0.52941176470588236</v>
      </c>
      <c r="L73" s="503"/>
      <c r="M73" s="503"/>
      <c r="O73" s="344"/>
    </row>
    <row r="74" spans="1:15" s="81" customFormat="1" ht="15.75" customHeight="1">
      <c r="A74" s="793">
        <v>14913</v>
      </c>
      <c r="B74" s="793">
        <v>15548</v>
      </c>
      <c r="C74" s="759">
        <v>16000</v>
      </c>
      <c r="D74" s="717" t="s">
        <v>829</v>
      </c>
      <c r="E74" s="728">
        <v>6140</v>
      </c>
      <c r="F74" s="759">
        <f>+'YE Projections'!I48</f>
        <v>18200</v>
      </c>
      <c r="G74" s="759"/>
      <c r="H74" s="759"/>
      <c r="I74" s="503"/>
      <c r="J74" s="943">
        <f t="shared" si="6"/>
        <v>2200</v>
      </c>
      <c r="K74" s="760">
        <f t="shared" si="7"/>
        <v>0.13750000000000001</v>
      </c>
      <c r="L74" s="503"/>
      <c r="M74" s="503"/>
      <c r="O74" s="344"/>
    </row>
    <row r="75" spans="1:15" s="81" customFormat="1" ht="15.75" customHeight="1">
      <c r="A75" s="793">
        <v>640</v>
      </c>
      <c r="B75" s="793">
        <v>928</v>
      </c>
      <c r="C75" s="759">
        <v>1500</v>
      </c>
      <c r="D75" s="717" t="s">
        <v>830</v>
      </c>
      <c r="E75" s="728">
        <v>6330</v>
      </c>
      <c r="F75" s="759">
        <f>+'YE Projections'!I70</f>
        <v>2950</v>
      </c>
      <c r="G75" s="759"/>
      <c r="H75" s="759"/>
      <c r="I75" s="503"/>
      <c r="J75" s="943">
        <f t="shared" si="6"/>
        <v>1450</v>
      </c>
      <c r="K75" s="760">
        <f t="shared" si="7"/>
        <v>0.96666666666666667</v>
      </c>
      <c r="L75" s="503"/>
      <c r="M75" s="503"/>
      <c r="O75" s="344"/>
    </row>
    <row r="76" spans="1:15" s="81" customFormat="1" ht="15.75" customHeight="1">
      <c r="A76" s="793">
        <v>450</v>
      </c>
      <c r="B76" s="793">
        <v>824</v>
      </c>
      <c r="C76" s="759">
        <v>4000</v>
      </c>
      <c r="D76" s="717" t="s">
        <v>831</v>
      </c>
      <c r="E76" s="728">
        <v>6230</v>
      </c>
      <c r="F76" s="759">
        <f>+'YE Projections'!I59</f>
        <v>4000</v>
      </c>
      <c r="G76" s="759"/>
      <c r="H76" s="759"/>
      <c r="I76" s="503"/>
      <c r="J76" s="943">
        <f t="shared" si="6"/>
        <v>0</v>
      </c>
      <c r="K76" s="760">
        <f t="shared" si="7"/>
        <v>0</v>
      </c>
      <c r="L76" s="503"/>
      <c r="M76" s="503"/>
      <c r="O76" s="344"/>
    </row>
    <row r="77" spans="1:15" s="81" customFormat="1" ht="15.75" customHeight="1">
      <c r="A77" s="793">
        <v>2890</v>
      </c>
      <c r="B77" s="793">
        <v>2231</v>
      </c>
      <c r="C77" s="759">
        <v>7000</v>
      </c>
      <c r="D77" s="717" t="s">
        <v>832</v>
      </c>
      <c r="E77" s="728">
        <v>6235</v>
      </c>
      <c r="F77" s="759">
        <f>+'YE Projections'!I60</f>
        <v>7000</v>
      </c>
      <c r="G77" s="759"/>
      <c r="H77" s="759"/>
      <c r="I77" s="503"/>
      <c r="J77" s="943">
        <f t="shared" si="6"/>
        <v>0</v>
      </c>
      <c r="K77" s="760">
        <f t="shared" si="7"/>
        <v>0</v>
      </c>
      <c r="L77" s="503"/>
      <c r="M77" s="503"/>
      <c r="O77" s="344"/>
    </row>
    <row r="78" spans="1:15" s="81" customFormat="1" ht="15.75" customHeight="1">
      <c r="A78" s="793">
        <v>268</v>
      </c>
      <c r="B78" s="793">
        <v>642</v>
      </c>
      <c r="C78" s="759">
        <v>1000</v>
      </c>
      <c r="D78" s="717" t="s">
        <v>833</v>
      </c>
      <c r="E78" s="728">
        <v>6412</v>
      </c>
      <c r="F78" s="759">
        <f>+'YE Projections'!I77</f>
        <v>1250</v>
      </c>
      <c r="G78" s="759"/>
      <c r="H78" s="759"/>
      <c r="I78" s="503"/>
      <c r="J78" s="943">
        <f t="shared" si="6"/>
        <v>250</v>
      </c>
      <c r="K78" s="760">
        <f t="shared" si="7"/>
        <v>0.25</v>
      </c>
      <c r="L78" s="503"/>
      <c r="M78" s="503"/>
      <c r="O78" s="344"/>
    </row>
    <row r="79" spans="1:15" s="81" customFormat="1" ht="15.75" customHeight="1">
      <c r="A79" s="793">
        <v>6205</v>
      </c>
      <c r="B79" s="793">
        <v>9235</v>
      </c>
      <c r="C79" s="759">
        <v>10000</v>
      </c>
      <c r="D79" s="717" t="s">
        <v>834</v>
      </c>
      <c r="E79" s="728">
        <v>6251</v>
      </c>
      <c r="F79" s="759">
        <f>+'YE Projections'!I61</f>
        <v>10000</v>
      </c>
      <c r="G79" s="759"/>
      <c r="H79" s="759"/>
      <c r="I79" s="503"/>
      <c r="J79" s="943">
        <f t="shared" si="6"/>
        <v>0</v>
      </c>
      <c r="K79" s="760">
        <f t="shared" si="7"/>
        <v>0</v>
      </c>
      <c r="L79" s="503"/>
      <c r="M79" s="503"/>
      <c r="O79" s="344"/>
    </row>
    <row r="80" spans="1:15" s="81" customFormat="1" ht="15.75" customHeight="1">
      <c r="A80" s="793">
        <v>227</v>
      </c>
      <c r="B80" s="793">
        <v>265</v>
      </c>
      <c r="C80" s="759">
        <v>600</v>
      </c>
      <c r="D80" s="717" t="s">
        <v>835</v>
      </c>
      <c r="E80" s="728">
        <v>6252</v>
      </c>
      <c r="F80" s="759">
        <f>+'YE Projections'!I62</f>
        <v>600</v>
      </c>
      <c r="G80" s="759"/>
      <c r="H80" s="759"/>
      <c r="I80" s="503"/>
      <c r="J80" s="943">
        <f t="shared" si="6"/>
        <v>0</v>
      </c>
      <c r="K80" s="760">
        <f t="shared" si="7"/>
        <v>0</v>
      </c>
      <c r="L80" s="503"/>
      <c r="M80" s="503"/>
      <c r="O80" s="344"/>
    </row>
    <row r="81" spans="1:15" s="81" customFormat="1" ht="15.75" customHeight="1">
      <c r="A81" s="793">
        <v>4487</v>
      </c>
      <c r="B81" s="793">
        <v>4624</v>
      </c>
      <c r="C81" s="759">
        <v>5400</v>
      </c>
      <c r="D81" s="717" t="s">
        <v>836</v>
      </c>
      <c r="E81" s="728">
        <v>6260</v>
      </c>
      <c r="F81" s="759">
        <f>+'YE Projections'!I63</f>
        <v>5400</v>
      </c>
      <c r="G81" s="759"/>
      <c r="H81" s="759"/>
      <c r="I81" s="503"/>
      <c r="J81" s="943">
        <f t="shared" si="6"/>
        <v>0</v>
      </c>
      <c r="K81" s="760">
        <f t="shared" si="7"/>
        <v>0</v>
      </c>
      <c r="L81" s="503"/>
      <c r="M81" s="503"/>
      <c r="O81" s="344"/>
    </row>
    <row r="82" spans="1:15" s="81" customFormat="1" ht="15.75" customHeight="1">
      <c r="A82" s="793">
        <v>314</v>
      </c>
      <c r="B82" s="793">
        <v>87</v>
      </c>
      <c r="C82" s="759">
        <v>500</v>
      </c>
      <c r="D82" s="717" t="s">
        <v>837</v>
      </c>
      <c r="E82" s="728">
        <v>6280</v>
      </c>
      <c r="F82" s="759">
        <f>+'YE Projections'!I65</f>
        <v>500</v>
      </c>
      <c r="G82" s="759"/>
      <c r="H82" s="759"/>
      <c r="I82" s="503"/>
      <c r="J82" s="943">
        <f t="shared" si="6"/>
        <v>0</v>
      </c>
      <c r="K82" s="760">
        <f t="shared" si="7"/>
        <v>0</v>
      </c>
      <c r="L82" s="503"/>
      <c r="M82" s="503"/>
      <c r="O82" s="344"/>
    </row>
    <row r="83" spans="1:15" s="81" customFormat="1" ht="15.75" customHeight="1">
      <c r="A83" s="793">
        <v>1149</v>
      </c>
      <c r="B83" s="793">
        <v>1706</v>
      </c>
      <c r="C83" s="759">
        <v>2000</v>
      </c>
      <c r="D83" s="717" t="s">
        <v>838</v>
      </c>
      <c r="E83" s="728">
        <v>6360</v>
      </c>
      <c r="F83" s="759">
        <f>+'YE Projections'!I74</f>
        <v>2000</v>
      </c>
      <c r="G83" s="759"/>
      <c r="H83" s="759"/>
      <c r="I83" s="503"/>
      <c r="J83" s="943">
        <f t="shared" si="6"/>
        <v>0</v>
      </c>
      <c r="K83" s="760">
        <f t="shared" si="7"/>
        <v>0</v>
      </c>
      <c r="L83" s="503"/>
      <c r="M83" s="503"/>
      <c r="O83" s="344"/>
    </row>
    <row r="84" spans="1:15" s="81" customFormat="1" ht="15.75" customHeight="1">
      <c r="A84" s="793">
        <v>2947</v>
      </c>
      <c r="B84" s="793">
        <v>4593</v>
      </c>
      <c r="C84" s="759">
        <v>4800</v>
      </c>
      <c r="D84" s="717" t="s">
        <v>839</v>
      </c>
      <c r="E84" s="728">
        <v>6270</v>
      </c>
      <c r="F84" s="759">
        <f>+'YE Projections'!I64</f>
        <v>4800</v>
      </c>
      <c r="G84" s="759"/>
      <c r="H84" s="759"/>
      <c r="I84" s="503"/>
      <c r="J84" s="943">
        <f t="shared" si="6"/>
        <v>0</v>
      </c>
      <c r="K84" s="760">
        <f t="shared" si="7"/>
        <v>0</v>
      </c>
      <c r="L84" s="503"/>
      <c r="M84" s="503"/>
      <c r="O84" s="344"/>
    </row>
    <row r="85" spans="1:15" s="81" customFormat="1" ht="15.75" customHeight="1">
      <c r="A85" s="793">
        <v>683</v>
      </c>
      <c r="B85" s="793">
        <v>979</v>
      </c>
      <c r="C85" s="759">
        <v>1100</v>
      </c>
      <c r="D85" s="717" t="s">
        <v>840</v>
      </c>
      <c r="E85" s="728">
        <v>6135</v>
      </c>
      <c r="F85" s="759">
        <f>+'YE Projections'!I47</f>
        <v>1300</v>
      </c>
      <c r="G85" s="759"/>
      <c r="H85" s="759"/>
      <c r="I85" s="503"/>
      <c r="J85" s="943">
        <f t="shared" si="6"/>
        <v>200</v>
      </c>
      <c r="K85" s="760">
        <f t="shared" si="7"/>
        <v>0.18181818181818182</v>
      </c>
      <c r="L85" s="503"/>
      <c r="M85" s="503"/>
      <c r="O85" s="344"/>
    </row>
    <row r="86" spans="1:15" s="81" customFormat="1" ht="15.75" customHeight="1">
      <c r="A86" s="758">
        <v>4742</v>
      </c>
      <c r="B86" s="758">
        <v>5394</v>
      </c>
      <c r="C86" s="759">
        <v>10500</v>
      </c>
      <c r="D86" s="733" t="s">
        <v>841</v>
      </c>
      <c r="E86" s="728" t="s">
        <v>842</v>
      </c>
      <c r="F86" s="759">
        <f>+'YE Projections'!I80+'YE Projections'!I81+'YE Projections'!I82</f>
        <v>10500</v>
      </c>
      <c r="G86" s="759"/>
      <c r="H86" s="759"/>
      <c r="I86" s="503"/>
      <c r="J86" s="943">
        <f t="shared" si="6"/>
        <v>0</v>
      </c>
      <c r="K86" s="760">
        <f t="shared" si="7"/>
        <v>0</v>
      </c>
      <c r="L86" s="503"/>
      <c r="M86" s="503"/>
      <c r="O86" s="344"/>
    </row>
    <row r="87" spans="1:15" s="81" customFormat="1" ht="15.75" customHeight="1" thickBot="1">
      <c r="A87" s="792"/>
      <c r="B87" s="792"/>
      <c r="C87" s="794"/>
      <c r="D87" s="733"/>
      <c r="E87" s="728"/>
      <c r="F87" s="795"/>
      <c r="G87" s="761"/>
      <c r="H87" s="761"/>
      <c r="I87" s="503"/>
      <c r="J87" s="943"/>
      <c r="K87" s="760"/>
      <c r="L87" s="503"/>
      <c r="M87" s="503"/>
    </row>
    <row r="88" spans="1:15" s="81" customFormat="1" ht="15.75" customHeight="1" thickBot="1">
      <c r="A88" s="773">
        <v>196478</v>
      </c>
      <c r="B88" s="773">
        <f>SUM(B37:B87)</f>
        <v>198344</v>
      </c>
      <c r="C88" s="773">
        <v>255065</v>
      </c>
      <c r="D88" s="785" t="s">
        <v>843</v>
      </c>
      <c r="E88" s="785"/>
      <c r="F88" s="773">
        <f>SUM(F37:F87)</f>
        <v>296202</v>
      </c>
      <c r="G88" s="773">
        <f t="shared" ref="G88:H88" si="8">SUM(G37:G87)</f>
        <v>0</v>
      </c>
      <c r="H88" s="773">
        <f t="shared" si="8"/>
        <v>0</v>
      </c>
      <c r="I88" s="507"/>
      <c r="J88" s="943">
        <f t="shared" ref="J88:J93" si="9">+F88-C88</f>
        <v>41137</v>
      </c>
      <c r="K88" s="760">
        <f t="shared" ref="K88:K93" si="10">J88/C88</f>
        <v>0.16128045792249035</v>
      </c>
      <c r="L88" s="503"/>
      <c r="M88" s="503"/>
    </row>
    <row r="89" spans="1:15" s="81" customFormat="1" ht="24.75" customHeight="1">
      <c r="A89" s="761">
        <v>250000</v>
      </c>
      <c r="B89" s="761">
        <v>250000</v>
      </c>
      <c r="C89" s="759">
        <v>300000</v>
      </c>
      <c r="D89" s="728" t="s">
        <v>844</v>
      </c>
      <c r="E89" s="728">
        <v>8520</v>
      </c>
      <c r="F89" s="759">
        <f>+'YE Projections'!I86</f>
        <v>250000</v>
      </c>
      <c r="G89" s="759"/>
      <c r="H89" s="759"/>
      <c r="I89" s="503"/>
      <c r="J89" s="943">
        <f t="shared" si="9"/>
        <v>-50000</v>
      </c>
      <c r="K89" s="760">
        <f t="shared" si="10"/>
        <v>-0.16666666666666666</v>
      </c>
      <c r="L89" s="503"/>
      <c r="M89" s="503"/>
    </row>
    <row r="90" spans="1:15" s="81" customFormat="1" ht="19.5" customHeight="1" thickBot="1">
      <c r="A90" s="761"/>
      <c r="B90" s="761"/>
      <c r="C90" s="783">
        <v>75000</v>
      </c>
      <c r="D90" s="728" t="s">
        <v>845</v>
      </c>
      <c r="E90" s="728">
        <v>9000</v>
      </c>
      <c r="F90" s="761">
        <f>+'YE Projections'!I87</f>
        <v>75000</v>
      </c>
      <c r="G90" s="759"/>
      <c r="H90" s="759"/>
      <c r="I90" s="503"/>
      <c r="J90" s="943">
        <f t="shared" si="9"/>
        <v>0</v>
      </c>
      <c r="K90" s="760">
        <f t="shared" si="10"/>
        <v>0</v>
      </c>
      <c r="L90" s="503"/>
      <c r="M90" s="503"/>
    </row>
    <row r="91" spans="1:15" s="81" customFormat="1" ht="19.5" customHeight="1" thickBot="1">
      <c r="A91" s="773">
        <v>954656</v>
      </c>
      <c r="B91" s="773">
        <f>+B88+B89+B34</f>
        <v>970140</v>
      </c>
      <c r="C91" s="773">
        <f>C34+C88+C89+C90</f>
        <v>1216374</v>
      </c>
      <c r="D91" s="785" t="s">
        <v>846</v>
      </c>
      <c r="E91" s="785"/>
      <c r="F91" s="773">
        <f>F34+F88+F89+F90</f>
        <v>1297006</v>
      </c>
      <c r="G91" s="773">
        <f>G34+G88+G89+G90</f>
        <v>0</v>
      </c>
      <c r="H91" s="773">
        <f>H34+H88+H89+H90</f>
        <v>0</v>
      </c>
      <c r="I91" s="775"/>
      <c r="J91" s="943">
        <f t="shared" si="9"/>
        <v>80632</v>
      </c>
      <c r="K91" s="796">
        <f t="shared" si="10"/>
        <v>6.6288822352335713E-2</v>
      </c>
      <c r="L91" s="503"/>
      <c r="M91" s="503"/>
    </row>
    <row r="92" spans="1:15" s="81" customFormat="1" ht="25.5" customHeight="1">
      <c r="A92" s="797">
        <v>994161</v>
      </c>
      <c r="B92" s="797">
        <f>+B11</f>
        <v>994161</v>
      </c>
      <c r="C92" s="798">
        <f>C25-C91</f>
        <v>656894</v>
      </c>
      <c r="D92" s="799" t="s">
        <v>618</v>
      </c>
      <c r="E92" s="799"/>
      <c r="F92" s="798">
        <f>F25-F91</f>
        <v>457651</v>
      </c>
      <c r="G92" s="798">
        <f>G25-G91</f>
        <v>0</v>
      </c>
      <c r="H92" s="800">
        <f>H25-H91</f>
        <v>0</v>
      </c>
      <c r="I92" s="503"/>
      <c r="J92" s="943">
        <f t="shared" si="9"/>
        <v>-199243</v>
      </c>
      <c r="K92" s="760">
        <f t="shared" si="10"/>
        <v>-0.30331073202069131</v>
      </c>
      <c r="L92" s="503"/>
      <c r="M92" s="503"/>
    </row>
    <row r="93" spans="1:15" s="81" customFormat="1" ht="24.75" customHeight="1" thickBot="1">
      <c r="A93" s="980">
        <v>1948817</v>
      </c>
      <c r="B93" s="980">
        <f>B25</f>
        <v>1964054</v>
      </c>
      <c r="C93" s="980">
        <f>C25</f>
        <v>1873268</v>
      </c>
      <c r="D93" s="986" t="s">
        <v>847</v>
      </c>
      <c r="E93" s="987"/>
      <c r="F93" s="988">
        <f>F25</f>
        <v>1754657</v>
      </c>
      <c r="G93" s="988"/>
      <c r="H93" s="988"/>
      <c r="I93" s="436"/>
      <c r="J93" s="943">
        <f t="shared" si="9"/>
        <v>-118611</v>
      </c>
      <c r="K93" s="760">
        <f t="shared" si="10"/>
        <v>-6.3317688659604493E-2</v>
      </c>
      <c r="L93" s="503"/>
      <c r="M93" s="503"/>
    </row>
    <row r="94" spans="1:15" ht="13.5" thickTop="1">
      <c r="A94" s="801"/>
      <c r="B94" s="832"/>
      <c r="C94" s="802"/>
      <c r="E94" s="789"/>
      <c r="F94" s="803"/>
      <c r="G94" s="804"/>
      <c r="H94" s="804"/>
      <c r="J94" s="945"/>
      <c r="K94" s="806"/>
    </row>
    <row r="95" spans="1:15">
      <c r="A95" s="808"/>
      <c r="B95" s="808"/>
      <c r="C95" s="809"/>
      <c r="D95" s="810"/>
      <c r="E95" s="811"/>
      <c r="F95" s="803"/>
      <c r="G95" s="804"/>
      <c r="H95" s="804"/>
      <c r="J95" s="945"/>
      <c r="K95" s="806"/>
    </row>
    <row r="96" spans="1:15" ht="15.75">
      <c r="D96" s="996" t="s">
        <v>962</v>
      </c>
    </row>
    <row r="97" spans="1:13" ht="13.5" thickBot="1">
      <c r="A97" s="992">
        <f>+A25</f>
        <v>1948817</v>
      </c>
      <c r="B97" s="992">
        <f t="shared" ref="B97:H97" si="11">+B25</f>
        <v>1964054</v>
      </c>
      <c r="C97" s="992">
        <f t="shared" si="11"/>
        <v>1873268</v>
      </c>
      <c r="D97" s="860" t="str">
        <f t="shared" si="11"/>
        <v xml:space="preserve"> TOTAL RESOURCES </v>
      </c>
      <c r="E97" s="507">
        <f t="shared" si="11"/>
        <v>0</v>
      </c>
      <c r="F97" s="992">
        <f t="shared" si="11"/>
        <v>1754657</v>
      </c>
      <c r="G97" s="992">
        <f t="shared" si="11"/>
        <v>0</v>
      </c>
      <c r="H97" s="992">
        <f t="shared" si="11"/>
        <v>0</v>
      </c>
      <c r="J97" s="945"/>
      <c r="K97" s="815"/>
    </row>
    <row r="98" spans="1:13" ht="13.5" thickTop="1">
      <c r="D98" s="831"/>
      <c r="J98" s="943"/>
      <c r="K98" s="816"/>
    </row>
    <row r="99" spans="1:13">
      <c r="A99" s="507">
        <f>+A91</f>
        <v>954656</v>
      </c>
      <c r="B99" s="507">
        <f t="shared" ref="B99:H99" si="12">+B91</f>
        <v>970140</v>
      </c>
      <c r="C99" s="507">
        <f t="shared" si="12"/>
        <v>1216374</v>
      </c>
      <c r="D99" s="860" t="str">
        <f t="shared" si="12"/>
        <v>TOTAL EXPENDITURES</v>
      </c>
      <c r="E99" s="507">
        <f t="shared" si="12"/>
        <v>0</v>
      </c>
      <c r="F99" s="507">
        <f t="shared" si="12"/>
        <v>1297006</v>
      </c>
      <c r="G99" s="507">
        <f t="shared" si="12"/>
        <v>0</v>
      </c>
      <c r="H99" s="507">
        <f t="shared" si="12"/>
        <v>0</v>
      </c>
      <c r="I99" s="775"/>
      <c r="J99" s="943"/>
      <c r="K99" s="816"/>
    </row>
    <row r="100" spans="1:13" s="821" customFormat="1">
      <c r="A100" s="989">
        <f>+A92</f>
        <v>994161</v>
      </c>
      <c r="B100" s="989">
        <f>+B92-247</f>
        <v>993914</v>
      </c>
      <c r="C100" s="989">
        <f t="shared" ref="C100:H100" si="13">+C92</f>
        <v>656894</v>
      </c>
      <c r="D100" s="994" t="str">
        <f t="shared" si="13"/>
        <v>Unappropriated Ending Fund Balance</v>
      </c>
      <c r="E100" s="989">
        <f t="shared" si="13"/>
        <v>0</v>
      </c>
      <c r="F100" s="989">
        <f t="shared" si="13"/>
        <v>457651</v>
      </c>
      <c r="G100" s="989">
        <f t="shared" si="13"/>
        <v>0</v>
      </c>
      <c r="H100" s="989">
        <f t="shared" si="13"/>
        <v>0</v>
      </c>
      <c r="J100" s="946"/>
      <c r="K100" s="820"/>
      <c r="L100" s="819"/>
      <c r="M100" s="819"/>
    </row>
    <row r="101" spans="1:13" ht="13.5" thickBot="1">
      <c r="A101" s="993">
        <f t="shared" ref="A101:C101" si="14">SUM(A99:A100)</f>
        <v>1948817</v>
      </c>
      <c r="B101" s="993">
        <f t="shared" si="14"/>
        <v>1964054</v>
      </c>
      <c r="C101" s="993">
        <f t="shared" si="14"/>
        <v>1873268</v>
      </c>
      <c r="D101" s="995" t="s">
        <v>964</v>
      </c>
      <c r="E101" s="991"/>
      <c r="F101" s="993">
        <f>SUM(F99:F100)</f>
        <v>1754657</v>
      </c>
      <c r="G101" s="993">
        <f t="shared" ref="G101:H101" si="15">SUM(G99:G100)</f>
        <v>0</v>
      </c>
      <c r="H101" s="993">
        <f t="shared" si="15"/>
        <v>0</v>
      </c>
      <c r="I101" s="989"/>
      <c r="J101" s="945"/>
      <c r="K101" s="823"/>
    </row>
    <row r="102" spans="1:13" ht="13.5" thickTop="1">
      <c r="B102" s="436" t="s">
        <v>963</v>
      </c>
      <c r="J102" s="945"/>
      <c r="K102" s="823"/>
    </row>
    <row r="103" spans="1:13">
      <c r="A103" s="990">
        <f>+A97-A101</f>
        <v>0</v>
      </c>
      <c r="B103" s="990">
        <f>+B97-B101</f>
        <v>0</v>
      </c>
      <c r="C103" s="990">
        <f t="shared" ref="C103" si="16">+C97-C101</f>
        <v>0</v>
      </c>
      <c r="D103" s="997" t="s">
        <v>851</v>
      </c>
      <c r="F103" s="807">
        <v>0</v>
      </c>
      <c r="G103" s="807">
        <v>0</v>
      </c>
      <c r="H103" s="807">
        <v>0</v>
      </c>
      <c r="J103" s="945"/>
      <c r="K103" s="823"/>
    </row>
    <row r="104" spans="1:13" s="436" customFormat="1">
      <c r="C104" s="17" t="s">
        <v>965</v>
      </c>
      <c r="J104" s="945"/>
      <c r="K104" s="823"/>
    </row>
    <row r="105" spans="1:13" s="436" customFormat="1">
      <c r="A105" s="824"/>
      <c r="C105" s="814"/>
      <c r="E105" s="825"/>
      <c r="J105" s="945"/>
      <c r="K105" s="823"/>
    </row>
    <row r="106" spans="1:13" s="436" customFormat="1">
      <c r="A106" s="824"/>
      <c r="B106" s="822"/>
      <c r="C106" s="814"/>
      <c r="E106" s="825"/>
      <c r="J106" s="945"/>
      <c r="K106" s="823"/>
    </row>
    <row r="107" spans="1:13">
      <c r="A107" s="824"/>
      <c r="B107" s="822"/>
      <c r="C107" s="810"/>
      <c r="D107" s="810"/>
      <c r="E107" s="811"/>
      <c r="F107" s="803"/>
      <c r="G107" s="804"/>
      <c r="J107" s="805"/>
      <c r="K107" s="823"/>
      <c r="L107" s="807"/>
      <c r="M107" s="807"/>
    </row>
    <row r="108" spans="1:13">
      <c r="A108" s="824"/>
      <c r="B108" s="822"/>
      <c r="C108" s="810"/>
      <c r="D108" s="824"/>
      <c r="E108" s="827"/>
      <c r="F108" s="803"/>
      <c r="G108" s="804"/>
      <c r="J108" s="805"/>
      <c r="K108" s="823"/>
      <c r="L108" s="807"/>
      <c r="M108" s="807"/>
    </row>
    <row r="109" spans="1:13">
      <c r="A109" s="824"/>
      <c r="B109" s="822"/>
      <c r="C109" s="810"/>
      <c r="D109" s="824"/>
      <c r="E109" s="827"/>
      <c r="F109" s="803"/>
      <c r="G109" s="804"/>
      <c r="J109" s="805"/>
      <c r="K109" s="823"/>
      <c r="L109" s="807"/>
      <c r="M109" s="807"/>
    </row>
    <row r="110" spans="1:13">
      <c r="A110" s="824"/>
      <c r="B110" s="822"/>
      <c r="C110" s="810"/>
      <c r="D110" s="824"/>
      <c r="E110" s="827"/>
      <c r="F110" s="803"/>
      <c r="J110" s="805"/>
      <c r="K110" s="823"/>
      <c r="L110" s="807"/>
      <c r="M110" s="807"/>
    </row>
    <row r="111" spans="1:13">
      <c r="A111" s="824"/>
      <c r="B111" s="822"/>
      <c r="C111" s="810"/>
      <c r="D111" s="824"/>
      <c r="E111" s="827"/>
      <c r="F111" s="803"/>
      <c r="J111" s="805"/>
      <c r="K111" s="823"/>
      <c r="L111" s="807"/>
      <c r="M111" s="807"/>
    </row>
    <row r="112" spans="1:13">
      <c r="A112" s="824"/>
      <c r="B112" s="822"/>
      <c r="C112" s="810"/>
      <c r="D112" s="824"/>
      <c r="E112" s="827"/>
      <c r="F112" s="803"/>
      <c r="J112" s="828"/>
      <c r="L112" s="807"/>
      <c r="M112" s="807"/>
    </row>
    <row r="113" spans="1:13">
      <c r="A113" s="824"/>
      <c r="B113" s="822"/>
      <c r="C113" s="810"/>
      <c r="D113" s="824"/>
      <c r="E113" s="827"/>
      <c r="F113" s="803"/>
      <c r="J113" s="828"/>
      <c r="L113" s="807"/>
      <c r="M113" s="807"/>
    </row>
    <row r="114" spans="1:13">
      <c r="A114" s="824"/>
      <c r="B114" s="822"/>
      <c r="C114" s="810"/>
      <c r="D114" s="824"/>
      <c r="E114" s="827"/>
      <c r="F114" s="803"/>
      <c r="J114" s="828"/>
      <c r="L114" s="807"/>
      <c r="M114" s="807"/>
    </row>
    <row r="115" spans="1:13">
      <c r="A115" s="824"/>
      <c r="B115" s="822"/>
      <c r="C115" s="810"/>
      <c r="D115" s="824"/>
      <c r="E115" s="827"/>
      <c r="F115" s="803"/>
      <c r="J115" s="828"/>
      <c r="L115" s="807"/>
      <c r="M115" s="807"/>
    </row>
    <row r="116" spans="1:13">
      <c r="A116" s="824"/>
      <c r="B116" s="822"/>
      <c r="C116" s="810"/>
      <c r="D116" s="824"/>
      <c r="E116" s="827"/>
      <c r="F116" s="803"/>
      <c r="J116" s="828"/>
      <c r="L116" s="807"/>
      <c r="M116" s="807"/>
    </row>
    <row r="117" spans="1:13">
      <c r="A117" s="824"/>
      <c r="B117" s="822"/>
      <c r="C117" s="810"/>
      <c r="D117" s="824"/>
      <c r="E117" s="827"/>
      <c r="F117" s="803"/>
      <c r="L117" s="807"/>
      <c r="M117" s="807"/>
    </row>
    <row r="118" spans="1:13">
      <c r="A118" s="824"/>
      <c r="B118" s="822"/>
      <c r="C118" s="810"/>
      <c r="D118" s="824"/>
      <c r="E118" s="827"/>
      <c r="F118" s="803"/>
      <c r="L118" s="807"/>
      <c r="M118" s="807"/>
    </row>
    <row r="119" spans="1:13">
      <c r="A119" s="824"/>
      <c r="B119" s="822"/>
      <c r="C119" s="810"/>
      <c r="D119" s="824"/>
      <c r="E119" s="827"/>
      <c r="F119" s="830"/>
      <c r="I119" s="807"/>
      <c r="J119" s="807"/>
      <c r="K119" s="807"/>
      <c r="L119" s="807"/>
      <c r="M119" s="807"/>
    </row>
    <row r="120" spans="1:13">
      <c r="A120" s="824"/>
      <c r="B120" s="822"/>
      <c r="C120" s="810"/>
      <c r="D120" s="824"/>
      <c r="E120" s="827"/>
      <c r="F120" s="830"/>
      <c r="I120" s="807"/>
      <c r="J120" s="807"/>
      <c r="K120" s="807"/>
      <c r="L120" s="807"/>
      <c r="M120" s="807"/>
    </row>
    <row r="121" spans="1:13">
      <c r="A121" s="824"/>
      <c r="B121" s="822"/>
      <c r="C121" s="824"/>
      <c r="D121" s="824"/>
      <c r="E121" s="827"/>
      <c r="F121" s="830"/>
      <c r="I121" s="807"/>
      <c r="J121" s="807"/>
      <c r="K121" s="807"/>
      <c r="L121" s="807"/>
      <c r="M121" s="807"/>
    </row>
    <row r="122" spans="1:13">
      <c r="A122" s="824"/>
      <c r="B122" s="822"/>
      <c r="C122" s="824"/>
      <c r="D122" s="824"/>
      <c r="E122" s="827"/>
      <c r="F122" s="830"/>
      <c r="I122" s="807"/>
      <c r="J122" s="807"/>
      <c r="K122" s="807"/>
      <c r="L122" s="807"/>
      <c r="M122" s="807"/>
    </row>
  </sheetData>
  <sortState xmlns:xlrd2="http://schemas.microsoft.com/office/spreadsheetml/2017/richdata2" ref="A37:P86">
    <sortCondition ref="D37:D86"/>
  </sortState>
  <mergeCells count="2">
    <mergeCell ref="C1:F1"/>
    <mergeCell ref="C2:F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P148"/>
  <sheetViews>
    <sheetView topLeftCell="A13" workbookViewId="0">
      <selection activeCell="F25" sqref="F25:G35"/>
    </sheetView>
  </sheetViews>
  <sheetFormatPr defaultColWidth="11.77734375" defaultRowHeight="15"/>
  <cols>
    <col min="1" max="1" width="10.109375" style="100" customWidth="1"/>
    <col min="2" max="2" width="10.77734375" style="737" customWidth="1"/>
    <col min="3" max="3" width="10.44140625" style="100" customWidth="1"/>
    <col min="4" max="4" width="30.77734375" style="100" customWidth="1"/>
    <col min="5" max="5" width="11.6640625" style="737" customWidth="1"/>
    <col min="6" max="6" width="11.109375" style="100" customWidth="1"/>
    <col min="7" max="7" width="11" style="737" customWidth="1"/>
    <col min="8" max="8" width="4.77734375" style="902" customWidth="1"/>
    <col min="9" max="9" width="8.88671875" style="965" bestFit="1" customWidth="1"/>
    <col min="10" max="10" width="8.88671875" style="902" bestFit="1" customWidth="1"/>
    <col min="11" max="11" width="9.77734375" style="902" customWidth="1"/>
    <col min="12" max="12" width="6.6640625" style="100" customWidth="1"/>
    <col min="13" max="13" width="11.6640625" style="495" customWidth="1"/>
    <col min="14" max="14" width="12.6640625" style="495" customWidth="1"/>
    <col min="15" max="15" width="4.6640625" style="100" customWidth="1"/>
    <col min="16" max="16" width="11.6640625" style="100" customWidth="1"/>
    <col min="17" max="16384" width="11.77734375" style="100"/>
  </cols>
  <sheetData>
    <row r="1" spans="1:16" s="841" customFormat="1" ht="15.75" customHeight="1">
      <c r="A1" s="837"/>
      <c r="B1" s="838"/>
      <c r="C1" s="1063" t="s">
        <v>315</v>
      </c>
      <c r="D1" s="1063"/>
      <c r="E1" s="1063"/>
      <c r="F1" s="839"/>
      <c r="G1" s="840"/>
      <c r="H1" s="840"/>
      <c r="I1" s="947"/>
      <c r="J1" s="840"/>
      <c r="M1" s="842"/>
      <c r="N1" s="842"/>
    </row>
    <row r="2" spans="1:16" s="841" customFormat="1" ht="18.75" customHeight="1">
      <c r="A2" s="843"/>
      <c r="B2" s="843"/>
      <c r="C2" s="1064" t="str">
        <f>+'[2]General FY2024-25'!C2:F2</f>
        <v>Fiscal Year 2024 - 2025 Budget</v>
      </c>
      <c r="D2" s="1064"/>
      <c r="E2" s="1064"/>
      <c r="F2" s="844"/>
      <c r="G2" s="844"/>
      <c r="H2" s="844"/>
      <c r="I2" s="948"/>
      <c r="J2" s="844"/>
      <c r="K2" s="844"/>
      <c r="M2" s="842"/>
      <c r="N2" s="842"/>
    </row>
    <row r="3" spans="1:16" s="841" customFormat="1" ht="15.75" customHeight="1">
      <c r="A3" s="742"/>
      <c r="B3" s="742"/>
      <c r="C3" s="742"/>
      <c r="D3" s="81"/>
      <c r="E3" s="716"/>
      <c r="F3" s="716"/>
      <c r="G3" s="716"/>
      <c r="H3" s="716"/>
      <c r="I3" s="949" t="s">
        <v>759</v>
      </c>
      <c r="J3" s="845" t="s">
        <v>760</v>
      </c>
      <c r="K3" s="716"/>
      <c r="M3" s="842"/>
      <c r="N3" s="842"/>
    </row>
    <row r="4" spans="1:16" s="841" customFormat="1" ht="15.75" customHeight="1">
      <c r="A4" s="746" t="s">
        <v>761</v>
      </c>
      <c r="B4" s="746" t="s">
        <v>762</v>
      </c>
      <c r="C4" s="743" t="s">
        <v>763</v>
      </c>
      <c r="D4" s="744"/>
      <c r="E4" s="745" t="str">
        <f>+'[2]General FY2024-25'!F4</f>
        <v>2024-2025</v>
      </c>
      <c r="F4" s="746" t="str">
        <f>+E4</f>
        <v>2024-2025</v>
      </c>
      <c r="G4" s="746" t="str">
        <f>+F4</f>
        <v>2024-2025</v>
      </c>
      <c r="H4" s="740"/>
      <c r="I4" s="949" t="s">
        <v>765</v>
      </c>
      <c r="J4" s="845" t="s">
        <v>765</v>
      </c>
      <c r="K4" s="740"/>
      <c r="M4" s="842"/>
      <c r="N4" s="842"/>
    </row>
    <row r="5" spans="1:16" s="841" customFormat="1" ht="15.75" customHeight="1" thickBot="1">
      <c r="A5" s="747" t="s">
        <v>766</v>
      </c>
      <c r="B5" s="747" t="s">
        <v>766</v>
      </c>
      <c r="C5" s="748" t="s">
        <v>767</v>
      </c>
      <c r="D5" s="749" t="s">
        <v>768</v>
      </c>
      <c r="E5" s="748" t="s">
        <v>770</v>
      </c>
      <c r="F5" s="747" t="s">
        <v>771</v>
      </c>
      <c r="G5" s="747" t="s">
        <v>767</v>
      </c>
      <c r="H5" s="846"/>
      <c r="I5" s="950" t="str">
        <f>+C4</f>
        <v>2023-2024</v>
      </c>
      <c r="J5" s="847" t="str">
        <f>+I5</f>
        <v>2023-2024</v>
      </c>
      <c r="K5" s="846"/>
      <c r="M5" s="842"/>
      <c r="N5" s="842"/>
    </row>
    <row r="6" spans="1:16" s="841" customFormat="1" ht="15.75" customHeight="1" thickTop="1">
      <c r="A6" s="846"/>
      <c r="B6" s="846"/>
      <c r="C6" s="848"/>
      <c r="D6" s="849"/>
      <c r="E6" s="850"/>
      <c r="F6" s="851"/>
      <c r="G6" s="848"/>
      <c r="H6" s="852"/>
      <c r="I6" s="951"/>
      <c r="J6" s="852"/>
      <c r="K6" s="852"/>
      <c r="M6" s="842"/>
      <c r="N6" s="842"/>
    </row>
    <row r="7" spans="1:16" s="841" customFormat="1" ht="15.75" customHeight="1">
      <c r="A7" s="846"/>
      <c r="B7" s="846"/>
      <c r="C7" s="848"/>
      <c r="D7" s="754" t="s">
        <v>854</v>
      </c>
      <c r="E7" s="850"/>
      <c r="F7" s="851"/>
      <c r="G7" s="848"/>
      <c r="H7" s="852"/>
      <c r="I7" s="952"/>
      <c r="J7" s="852"/>
      <c r="K7" s="852"/>
      <c r="M7" s="842"/>
      <c r="N7" s="842"/>
    </row>
    <row r="8" spans="1:16" s="841" customFormat="1" ht="15.75" customHeight="1">
      <c r="A8" s="846"/>
      <c r="B8" s="846"/>
      <c r="C8" s="848"/>
      <c r="D8" s="755"/>
      <c r="E8" s="850"/>
      <c r="F8" s="851"/>
      <c r="G8" s="848"/>
      <c r="H8" s="852"/>
      <c r="I8" s="953"/>
      <c r="J8" s="848"/>
      <c r="K8" s="852"/>
      <c r="M8" s="842"/>
      <c r="N8" s="842"/>
    </row>
    <row r="9" spans="1:16" s="853" customFormat="1" ht="15.75" customHeight="1">
      <c r="A9" s="846"/>
      <c r="B9" s="846"/>
      <c r="C9" s="848"/>
      <c r="D9" s="757" t="s">
        <v>773</v>
      </c>
      <c r="E9" s="850"/>
      <c r="F9" s="851"/>
      <c r="G9" s="848"/>
      <c r="H9" s="852"/>
      <c r="I9" s="953"/>
      <c r="J9" s="848"/>
      <c r="K9" s="852"/>
      <c r="M9" s="855"/>
      <c r="N9" s="855"/>
      <c r="O9" s="855"/>
    </row>
    <row r="10" spans="1:16" s="853" customFormat="1" ht="15.75" customHeight="1">
      <c r="A10" s="846"/>
      <c r="B10" s="846"/>
      <c r="C10" s="848"/>
      <c r="D10" s="755"/>
      <c r="E10" s="753"/>
      <c r="F10" s="499"/>
      <c r="G10" s="751"/>
      <c r="H10" s="856"/>
      <c r="I10" s="954"/>
      <c r="J10" s="751"/>
      <c r="K10" s="856"/>
      <c r="L10" s="844"/>
      <c r="M10" s="855"/>
      <c r="N10" s="855"/>
      <c r="O10" s="855"/>
    </row>
    <row r="11" spans="1:16" s="853" customFormat="1" ht="15.75" customHeight="1">
      <c r="A11" s="759">
        <v>453700</v>
      </c>
      <c r="B11" s="759">
        <v>704386</v>
      </c>
      <c r="C11" s="759">
        <v>910093</v>
      </c>
      <c r="D11" s="717" t="s">
        <v>774</v>
      </c>
      <c r="E11" s="759">
        <f>+'YE Projections'!I95</f>
        <v>1263723</v>
      </c>
      <c r="F11" s="759"/>
      <c r="G11" s="759"/>
      <c r="H11" s="759"/>
      <c r="I11" s="955">
        <f>+E11-C11</f>
        <v>353630</v>
      </c>
      <c r="J11" s="760">
        <f t="shared" ref="J11:J13" si="0">I11/C11</f>
        <v>0.38856468514756182</v>
      </c>
      <c r="K11" s="759"/>
      <c r="L11" s="844"/>
      <c r="M11" s="855"/>
      <c r="N11" s="855"/>
      <c r="O11" s="855"/>
      <c r="P11" s="855"/>
    </row>
    <row r="12" spans="1:16" s="853" customFormat="1" ht="15.75" customHeight="1">
      <c r="A12" s="761">
        <v>250000</v>
      </c>
      <c r="B12" s="761">
        <v>250000</v>
      </c>
      <c r="C12" s="761">
        <v>300000</v>
      </c>
      <c r="D12" s="717" t="s">
        <v>855</v>
      </c>
      <c r="E12" s="761">
        <f>+'YE Projections'!I98</f>
        <v>250000</v>
      </c>
      <c r="F12" s="759"/>
      <c r="G12" s="759"/>
      <c r="H12" s="857"/>
      <c r="I12" s="955">
        <f>+E12-C12</f>
        <v>-50000</v>
      </c>
      <c r="J12" s="760">
        <f t="shared" si="0"/>
        <v>-0.16666666666666666</v>
      </c>
      <c r="K12" s="857"/>
      <c r="L12" s="844"/>
      <c r="M12" s="855"/>
      <c r="N12" s="855"/>
      <c r="O12" s="855"/>
      <c r="P12" s="858"/>
    </row>
    <row r="13" spans="1:16" s="853" customFormat="1" ht="15.75" customHeight="1">
      <c r="A13" s="759">
        <v>3971</v>
      </c>
      <c r="B13" s="759">
        <v>26035</v>
      </c>
      <c r="C13" s="759">
        <v>31212</v>
      </c>
      <c r="D13" s="717" t="s">
        <v>580</v>
      </c>
      <c r="E13" s="759">
        <f>+'YE Projections'!I96</f>
        <v>67318</v>
      </c>
      <c r="F13" s="759"/>
      <c r="G13" s="759"/>
      <c r="H13" s="759"/>
      <c r="I13" s="955">
        <f t="shared" ref="I13:I16" si="1">+E13-C13</f>
        <v>36106</v>
      </c>
      <c r="J13" s="760">
        <f t="shared" si="0"/>
        <v>1.15679866717929</v>
      </c>
      <c r="K13" s="759"/>
      <c r="L13" s="844"/>
      <c r="M13" s="854"/>
      <c r="N13" s="854"/>
    </row>
    <row r="14" spans="1:16" s="853" customFormat="1" ht="15.75" customHeight="1">
      <c r="A14" s="759">
        <v>11500</v>
      </c>
      <c r="B14" s="759"/>
      <c r="C14" s="759"/>
      <c r="D14" s="717" t="s">
        <v>856</v>
      </c>
      <c r="E14" s="759">
        <f>+'YE Projections'!I97</f>
        <v>15000</v>
      </c>
      <c r="F14" s="759"/>
      <c r="G14" s="759"/>
      <c r="H14" s="759"/>
      <c r="I14" s="955"/>
      <c r="J14" s="760"/>
      <c r="K14" s="759"/>
      <c r="L14" s="844"/>
      <c r="M14" s="854"/>
      <c r="N14" s="854"/>
    </row>
    <row r="15" spans="1:16" s="853" customFormat="1" ht="15.75" customHeight="1" thickBot="1">
      <c r="A15" s="761"/>
      <c r="B15" s="761"/>
      <c r="C15" s="759"/>
      <c r="D15" s="728"/>
      <c r="E15" s="759"/>
      <c r="F15" s="719"/>
      <c r="G15" s="759"/>
      <c r="H15" s="719"/>
      <c r="I15" s="956"/>
      <c r="J15" s="759"/>
      <c r="K15" s="719"/>
      <c r="L15" s="844"/>
      <c r="M15" s="854"/>
      <c r="N15" s="854"/>
    </row>
    <row r="16" spans="1:16" s="853" customFormat="1" ht="25.5" customHeight="1" thickBot="1">
      <c r="A16" s="773">
        <f t="shared" ref="A16" si="2">SUM(A11:A15)</f>
        <v>719171</v>
      </c>
      <c r="B16" s="773">
        <f t="shared" ref="B16" si="3">SUM(B11:B15)</f>
        <v>980421</v>
      </c>
      <c r="C16" s="773">
        <v>1241305</v>
      </c>
      <c r="D16" s="774" t="s">
        <v>785</v>
      </c>
      <c r="E16" s="773">
        <f>SUM(E11:E14)</f>
        <v>1596041</v>
      </c>
      <c r="F16" s="773">
        <f>SUM(F11:F14)</f>
        <v>0</v>
      </c>
      <c r="G16" s="773">
        <f t="shared" ref="G16" si="4">SUM(G11:G14)</f>
        <v>0</v>
      </c>
      <c r="H16" s="507"/>
      <c r="I16" s="955">
        <f t="shared" si="1"/>
        <v>354736</v>
      </c>
      <c r="J16" s="760">
        <f t="shared" ref="J16" si="5">I16/C16</f>
        <v>0.28577666246410027</v>
      </c>
      <c r="K16" s="507"/>
      <c r="L16" s="844"/>
      <c r="M16" s="854"/>
      <c r="N16" s="854"/>
    </row>
    <row r="17" spans="1:14" s="853" customFormat="1" ht="15.75" customHeight="1">
      <c r="A17" s="507"/>
      <c r="B17" s="507"/>
      <c r="C17" s="507"/>
      <c r="D17" s="860"/>
      <c r="E17" s="861"/>
      <c r="F17" s="507"/>
      <c r="G17" s="507"/>
      <c r="H17" s="507"/>
      <c r="I17" s="957"/>
      <c r="J17" s="507"/>
      <c r="K17" s="507"/>
      <c r="L17" s="844"/>
      <c r="M17" s="854"/>
      <c r="N17" s="854"/>
    </row>
    <row r="18" spans="1:14" s="853" customFormat="1" ht="15.75" customHeight="1">
      <c r="A18" s="507"/>
      <c r="B18" s="507"/>
      <c r="C18" s="507"/>
      <c r="D18" s="757" t="s">
        <v>786</v>
      </c>
      <c r="E18" s="861"/>
      <c r="F18" s="507"/>
      <c r="G18" s="507"/>
      <c r="H18" s="507"/>
      <c r="I18" s="957"/>
      <c r="J18" s="507"/>
      <c r="K18" s="507"/>
      <c r="L18" s="844"/>
      <c r="M18" s="854"/>
      <c r="N18" s="854"/>
    </row>
    <row r="19" spans="1:14" s="853" customFormat="1" ht="15.75" customHeight="1">
      <c r="A19" s="507"/>
      <c r="B19" s="507"/>
      <c r="C19" s="507"/>
      <c r="D19" s="757"/>
      <c r="E19" s="861"/>
      <c r="F19" s="507"/>
      <c r="G19" s="507"/>
      <c r="H19" s="507"/>
      <c r="I19" s="957"/>
      <c r="J19" s="507"/>
      <c r="K19" s="507"/>
      <c r="L19" s="844"/>
      <c r="M19" s="854"/>
      <c r="N19" s="854"/>
    </row>
    <row r="20" spans="1:14" s="853" customFormat="1" ht="15.75" customHeight="1">
      <c r="A20" s="507"/>
      <c r="B20" s="507"/>
      <c r="C20" s="507"/>
      <c r="D20" s="789" t="s">
        <v>431</v>
      </c>
      <c r="E20" s="861"/>
      <c r="F20" s="507"/>
      <c r="G20" s="507"/>
      <c r="H20" s="507"/>
      <c r="I20" s="957"/>
      <c r="J20" s="507"/>
      <c r="K20" s="507"/>
      <c r="L20" s="844"/>
      <c r="M20" s="854"/>
      <c r="N20" s="854"/>
    </row>
    <row r="21" spans="1:14" s="853" customFormat="1" ht="15.75" customHeight="1">
      <c r="A21" s="507"/>
      <c r="B21" s="507"/>
      <c r="C21" s="507"/>
      <c r="D21" s="757"/>
      <c r="E21" s="862"/>
      <c r="F21" s="507"/>
      <c r="G21" s="507"/>
      <c r="H21" s="507"/>
      <c r="I21" s="957"/>
      <c r="J21" s="507"/>
      <c r="K21" s="507"/>
      <c r="L21" s="844"/>
      <c r="M21" s="854"/>
      <c r="N21" s="854"/>
    </row>
    <row r="22" spans="1:14" s="853" customFormat="1" ht="15.75" customHeight="1">
      <c r="A22" s="793">
        <v>0</v>
      </c>
      <c r="B22" s="793"/>
      <c r="C22" s="863"/>
      <c r="D22" s="864" t="s">
        <v>801</v>
      </c>
      <c r="E22" s="865">
        <v>0</v>
      </c>
      <c r="F22" s="863">
        <f>+E22</f>
        <v>0</v>
      </c>
      <c r="G22" s="863">
        <f>+F22</f>
        <v>0</v>
      </c>
      <c r="H22" s="507"/>
      <c r="I22" s="955"/>
      <c r="J22" s="760"/>
      <c r="K22" s="507"/>
      <c r="L22" s="844"/>
      <c r="M22" s="854"/>
      <c r="N22" s="854"/>
    </row>
    <row r="23" spans="1:14" s="853" customFormat="1" ht="15.75" customHeight="1">
      <c r="A23" s="507"/>
      <c r="B23" s="507"/>
      <c r="C23" s="507"/>
      <c r="D23" s="757"/>
      <c r="E23" s="862"/>
      <c r="F23" s="507"/>
      <c r="G23" s="507"/>
      <c r="H23" s="507"/>
      <c r="I23" s="957"/>
      <c r="J23" s="507"/>
      <c r="K23" s="507"/>
      <c r="L23" s="967" t="s">
        <v>852</v>
      </c>
      <c r="M23" s="854"/>
      <c r="N23" s="854"/>
    </row>
    <row r="24" spans="1:14" s="853" customFormat="1" ht="15.75" customHeight="1">
      <c r="A24" s="507"/>
      <c r="B24" s="507"/>
      <c r="C24" s="866"/>
      <c r="D24" s="789" t="s">
        <v>857</v>
      </c>
      <c r="E24" s="867"/>
      <c r="F24" s="866"/>
      <c r="G24" s="866"/>
      <c r="H24" s="507"/>
      <c r="I24" s="957"/>
      <c r="J24" s="507"/>
      <c r="K24" s="507"/>
      <c r="L24" s="967" t="s">
        <v>853</v>
      </c>
      <c r="M24" s="854"/>
      <c r="N24" s="854"/>
    </row>
    <row r="25" spans="1:14" s="853" customFormat="1" ht="15.75" customHeight="1">
      <c r="A25" s="761"/>
      <c r="B25" s="761"/>
      <c r="C25" s="868">
        <v>1000</v>
      </c>
      <c r="D25" s="733" t="s">
        <v>858</v>
      </c>
      <c r="E25" s="869">
        <f>+'YE Projections'!I104</f>
        <v>1000</v>
      </c>
      <c r="F25" s="868"/>
      <c r="G25" s="868"/>
      <c r="H25" s="759"/>
      <c r="I25" s="955">
        <f t="shared" ref="I25:I29" si="6">+E25-C25</f>
        <v>0</v>
      </c>
      <c r="J25" s="760">
        <f t="shared" ref="J25:J29" si="7">I25/C25</f>
        <v>0</v>
      </c>
      <c r="K25" s="759"/>
      <c r="L25" s="966">
        <v>7100</v>
      </c>
      <c r="M25" s="871"/>
      <c r="N25" s="872"/>
    </row>
    <row r="26" spans="1:14" s="853" customFormat="1" ht="15.75" customHeight="1">
      <c r="A26" s="761">
        <v>9842</v>
      </c>
      <c r="B26" s="761">
        <v>44966</v>
      </c>
      <c r="C26" s="868">
        <v>95000</v>
      </c>
      <c r="D26" s="733" t="s">
        <v>859</v>
      </c>
      <c r="E26" s="869">
        <f>+'YE Projections'!I105</f>
        <v>190000</v>
      </c>
      <c r="F26" s="868"/>
      <c r="G26" s="868"/>
      <c r="H26" s="873"/>
      <c r="I26" s="955">
        <f t="shared" si="6"/>
        <v>95000</v>
      </c>
      <c r="J26" s="760">
        <f t="shared" si="7"/>
        <v>1</v>
      </c>
      <c r="K26" s="873"/>
      <c r="L26" s="966">
        <v>7110</v>
      </c>
      <c r="M26" s="871"/>
      <c r="N26" s="854"/>
    </row>
    <row r="27" spans="1:14" s="853" customFormat="1" ht="15.75" customHeight="1">
      <c r="A27" s="761"/>
      <c r="B27" s="761"/>
      <c r="C27" s="868">
        <v>550000</v>
      </c>
      <c r="D27" s="81" t="s">
        <v>860</v>
      </c>
      <c r="E27" s="874">
        <f>+'YE Projections'!I106</f>
        <v>550000</v>
      </c>
      <c r="F27" s="868"/>
      <c r="G27" s="868"/>
      <c r="H27" s="857"/>
      <c r="I27" s="955">
        <f t="shared" si="6"/>
        <v>0</v>
      </c>
      <c r="J27" s="760">
        <f t="shared" si="7"/>
        <v>0</v>
      </c>
      <c r="K27" s="857"/>
      <c r="L27" s="966">
        <v>7180</v>
      </c>
      <c r="M27" s="871"/>
      <c r="N27" s="854"/>
    </row>
    <row r="28" spans="1:14" s="853" customFormat="1" ht="15.75" customHeight="1">
      <c r="A28" s="761">
        <v>4943</v>
      </c>
      <c r="B28" s="761">
        <v>11104</v>
      </c>
      <c r="C28" s="759">
        <v>20000</v>
      </c>
      <c r="D28" s="733" t="s">
        <v>861</v>
      </c>
      <c r="E28" s="869">
        <f>+'YE Projections'!I102</f>
        <v>40000</v>
      </c>
      <c r="F28" s="868"/>
      <c r="G28" s="868"/>
      <c r="H28" s="759"/>
      <c r="I28" s="955">
        <f t="shared" si="6"/>
        <v>20000</v>
      </c>
      <c r="J28" s="760">
        <f t="shared" si="7"/>
        <v>1</v>
      </c>
      <c r="K28" s="759"/>
      <c r="L28" s="966">
        <v>7010</v>
      </c>
      <c r="M28" s="871"/>
      <c r="N28" s="872"/>
    </row>
    <row r="29" spans="1:14" s="853" customFormat="1" ht="15.75" customHeight="1">
      <c r="A29" s="761"/>
      <c r="B29" s="761">
        <v>12952</v>
      </c>
      <c r="C29" s="759">
        <v>15000</v>
      </c>
      <c r="D29" s="733" t="s">
        <v>862</v>
      </c>
      <c r="E29" s="869">
        <f>+'YE Projections'!I103</f>
        <v>15000</v>
      </c>
      <c r="F29" s="868"/>
      <c r="G29" s="868"/>
      <c r="H29" s="759"/>
      <c r="I29" s="955">
        <f t="shared" si="6"/>
        <v>0</v>
      </c>
      <c r="J29" s="760">
        <f t="shared" si="7"/>
        <v>0</v>
      </c>
      <c r="K29" s="759"/>
      <c r="L29" s="966">
        <v>7050</v>
      </c>
      <c r="M29" s="871"/>
      <c r="N29" s="872"/>
    </row>
    <row r="30" spans="1:14" s="853" customFormat="1" ht="15.75" customHeight="1">
      <c r="A30" s="761"/>
      <c r="B30" s="761"/>
      <c r="C30" s="795"/>
      <c r="D30" s="733"/>
      <c r="E30" s="875"/>
      <c r="F30" s="868"/>
      <c r="G30" s="868"/>
      <c r="H30" s="857"/>
      <c r="I30" s="956"/>
      <c r="J30" s="761"/>
      <c r="K30" s="857"/>
      <c r="L30" s="966"/>
      <c r="M30" s="871"/>
      <c r="N30" s="854"/>
    </row>
    <row r="31" spans="1:14" s="853" customFormat="1" ht="15.75" customHeight="1">
      <c r="A31" s="761"/>
      <c r="B31" s="761"/>
      <c r="C31" s="795"/>
      <c r="D31" s="789" t="s">
        <v>863</v>
      </c>
      <c r="E31" s="876"/>
      <c r="F31" s="868"/>
      <c r="G31" s="868"/>
      <c r="H31" s="857"/>
      <c r="I31" s="956"/>
      <c r="J31" s="761"/>
      <c r="K31" s="857"/>
      <c r="L31" s="844"/>
      <c r="M31" s="871"/>
      <c r="N31" s="854"/>
    </row>
    <row r="32" spans="1:14" s="853" customFormat="1" ht="15.75" customHeight="1">
      <c r="A32" s="761"/>
      <c r="B32" s="761"/>
      <c r="C32" s="868">
        <v>40000</v>
      </c>
      <c r="D32" s="733" t="s">
        <v>864</v>
      </c>
      <c r="E32" s="877">
        <f>+C32</f>
        <v>40000</v>
      </c>
      <c r="F32" s="868"/>
      <c r="G32" s="868"/>
      <c r="H32" s="873"/>
      <c r="I32" s="955">
        <f t="shared" ref="I32:I36" si="8">+E32-C32</f>
        <v>0</v>
      </c>
      <c r="J32" s="760">
        <f t="shared" ref="J32:J36" si="9">I32/C32</f>
        <v>0</v>
      </c>
      <c r="K32" s="873"/>
      <c r="L32" s="844"/>
      <c r="M32" s="871"/>
      <c r="N32" s="854"/>
    </row>
    <row r="33" spans="1:14" s="853" customFormat="1" ht="15.75" customHeight="1">
      <c r="A33" s="761"/>
      <c r="B33" s="761"/>
      <c r="C33" s="868">
        <v>40000</v>
      </c>
      <c r="D33" s="733" t="s">
        <v>865</v>
      </c>
      <c r="E33" s="877">
        <f t="shared" ref="E33:E34" si="10">+C33</f>
        <v>40000</v>
      </c>
      <c r="F33" s="868"/>
      <c r="G33" s="868"/>
      <c r="H33" s="873"/>
      <c r="I33" s="955">
        <f t="shared" si="8"/>
        <v>0</v>
      </c>
      <c r="J33" s="760">
        <f t="shared" si="9"/>
        <v>0</v>
      </c>
      <c r="K33" s="873"/>
      <c r="L33" s="844"/>
      <c r="M33" s="871"/>
      <c r="N33" s="854"/>
    </row>
    <row r="34" spans="1:14" s="853" customFormat="1" ht="15.75" customHeight="1">
      <c r="A34" s="761"/>
      <c r="B34" s="761"/>
      <c r="C34" s="868">
        <v>50000</v>
      </c>
      <c r="D34" s="719" t="s">
        <v>866</v>
      </c>
      <c r="E34" s="877">
        <f t="shared" si="10"/>
        <v>50000</v>
      </c>
      <c r="F34" s="868"/>
      <c r="G34" s="868"/>
      <c r="H34" s="873"/>
      <c r="I34" s="955">
        <f t="shared" si="8"/>
        <v>0</v>
      </c>
      <c r="J34" s="760">
        <f t="shared" si="9"/>
        <v>0</v>
      </c>
      <c r="K34" s="873"/>
      <c r="L34" s="844"/>
      <c r="M34" s="854"/>
      <c r="N34" s="854"/>
    </row>
    <row r="35" spans="1:14" s="853" customFormat="1" ht="15.75" customHeight="1" thickBot="1">
      <c r="A35" s="761"/>
      <c r="B35" s="761"/>
      <c r="C35" s="868">
        <v>430305</v>
      </c>
      <c r="D35" s="719" t="s">
        <v>867</v>
      </c>
      <c r="E35" s="877">
        <f>+E16-E25-E26-E27-E28-E29-E32-E33-E34</f>
        <v>670041</v>
      </c>
      <c r="F35" s="877"/>
      <c r="G35" s="877"/>
      <c r="H35" s="873"/>
      <c r="I35" s="955">
        <f t="shared" si="8"/>
        <v>239736</v>
      </c>
      <c r="J35" s="760">
        <f t="shared" si="9"/>
        <v>0.55713040750165577</v>
      </c>
      <c r="K35" s="873"/>
      <c r="L35" s="844"/>
      <c r="M35" s="854"/>
      <c r="N35" s="854"/>
    </row>
    <row r="36" spans="1:14" s="853" customFormat="1" ht="24.75" customHeight="1" thickBot="1">
      <c r="A36" s="773">
        <f>SUM(A22:A35)</f>
        <v>14785</v>
      </c>
      <c r="B36" s="773">
        <f>SUM(B22:B35)</f>
        <v>69022</v>
      </c>
      <c r="C36" s="773">
        <v>1241305</v>
      </c>
      <c r="D36" s="774" t="s">
        <v>868</v>
      </c>
      <c r="E36" s="773">
        <f>SUM(E21:E35)</f>
        <v>1596041</v>
      </c>
      <c r="F36" s="773">
        <f>SUM(F21:F35)</f>
        <v>0</v>
      </c>
      <c r="G36" s="773">
        <f>SUM(G21:G35)</f>
        <v>0</v>
      </c>
      <c r="H36" s="507"/>
      <c r="I36" s="955">
        <f t="shared" si="8"/>
        <v>354736</v>
      </c>
      <c r="J36" s="760">
        <f t="shared" si="9"/>
        <v>0.28577666246410027</v>
      </c>
      <c r="K36" s="507"/>
      <c r="L36" s="844"/>
      <c r="M36" s="854"/>
      <c r="N36" s="854"/>
    </row>
    <row r="37" spans="1:14" s="853" customFormat="1" ht="15" customHeight="1">
      <c r="A37" s="759"/>
      <c r="B37" s="759"/>
      <c r="C37" s="759"/>
      <c r="D37" s="728"/>
      <c r="E37" s="761"/>
      <c r="F37" s="719"/>
      <c r="G37" s="759"/>
      <c r="H37" s="719"/>
      <c r="I37" s="956"/>
      <c r="J37" s="759"/>
      <c r="K37" s="719"/>
      <c r="L37" s="844"/>
      <c r="M37" s="854"/>
      <c r="N37" s="854"/>
    </row>
    <row r="38" spans="1:14" s="881" customFormat="1" ht="14.25">
      <c r="A38" s="879"/>
      <c r="B38" s="879"/>
      <c r="C38" s="804"/>
      <c r="D38" s="789" t="s">
        <v>847</v>
      </c>
      <c r="E38" s="804"/>
      <c r="F38" s="824"/>
      <c r="G38" s="804"/>
      <c r="H38" s="822"/>
      <c r="I38" s="958"/>
      <c r="J38" s="804"/>
      <c r="K38" s="822"/>
      <c r="L38" s="880"/>
      <c r="M38" s="878"/>
      <c r="N38" s="878"/>
    </row>
    <row r="39" spans="1:14" s="881" customFormat="1" ht="14.25">
      <c r="A39" s="436"/>
      <c r="B39" s="436"/>
      <c r="C39" s="804"/>
      <c r="D39" s="810"/>
      <c r="E39" s="812"/>
      <c r="F39" s="824"/>
      <c r="G39" s="804"/>
      <c r="H39" s="822"/>
      <c r="I39" s="958"/>
      <c r="J39" s="804"/>
      <c r="K39" s="822"/>
      <c r="L39" s="880"/>
      <c r="M39" s="878"/>
      <c r="N39" s="878"/>
    </row>
    <row r="40" spans="1:14" s="881" customFormat="1" ht="14.25">
      <c r="A40" s="812">
        <f>A16</f>
        <v>719171</v>
      </c>
      <c r="B40" s="812">
        <f>B16</f>
        <v>980421</v>
      </c>
      <c r="C40" s="812">
        <v>1241305</v>
      </c>
      <c r="D40" s="813" t="s">
        <v>76</v>
      </c>
      <c r="E40" s="812">
        <f>E16</f>
        <v>1596041</v>
      </c>
      <c r="F40" s="812">
        <f>F16</f>
        <v>0</v>
      </c>
      <c r="G40" s="812">
        <f>G16</f>
        <v>0</v>
      </c>
      <c r="H40" s="814"/>
      <c r="I40" s="958">
        <f>+E40-C40</f>
        <v>354736</v>
      </c>
      <c r="J40" s="760">
        <f t="shared" ref="J40" si="11">I40/C40</f>
        <v>0.28577666246410027</v>
      </c>
      <c r="K40" s="814"/>
      <c r="L40" s="880"/>
      <c r="M40" s="878"/>
      <c r="N40" s="878"/>
    </row>
    <row r="41" spans="1:14" s="881" customFormat="1" ht="14.25">
      <c r="A41" s="812"/>
      <c r="B41" s="812"/>
      <c r="C41" s="812"/>
      <c r="D41" s="813"/>
      <c r="E41" s="812"/>
      <c r="F41" s="814"/>
      <c r="G41" s="812"/>
      <c r="H41" s="814"/>
      <c r="I41" s="958"/>
      <c r="J41" s="812"/>
      <c r="K41" s="814"/>
      <c r="L41" s="880"/>
      <c r="M41" s="878"/>
      <c r="N41" s="878"/>
    </row>
    <row r="42" spans="1:14" s="881" customFormat="1" ht="14.25">
      <c r="A42" s="812">
        <f>SUM(A21:A29)</f>
        <v>14785</v>
      </c>
      <c r="B42" s="812">
        <f>SUM(B21:B29)</f>
        <v>69022</v>
      </c>
      <c r="C42" s="812">
        <v>681000</v>
      </c>
      <c r="D42" s="813" t="s">
        <v>848</v>
      </c>
      <c r="E42" s="812">
        <f>SUM(E21:E29)</f>
        <v>796000</v>
      </c>
      <c r="F42" s="812">
        <f>SUM(F21:F29)</f>
        <v>0</v>
      </c>
      <c r="G42" s="812">
        <f>SUM(G21:G29)</f>
        <v>0</v>
      </c>
      <c r="H42" s="814"/>
      <c r="I42" s="955">
        <f t="shared" ref="I42:I43" si="12">+E42-C42</f>
        <v>115000</v>
      </c>
      <c r="J42" s="760">
        <f t="shared" ref="J42:J43" si="13">I42/C42</f>
        <v>0.16886930983847284</v>
      </c>
      <c r="K42" s="814"/>
      <c r="L42" s="880"/>
      <c r="M42" s="878"/>
      <c r="N42" s="878"/>
    </row>
    <row r="43" spans="1:14">
      <c r="A43" s="812">
        <f>+A40-A42</f>
        <v>704386</v>
      </c>
      <c r="B43" s="812">
        <f>+B40-B42</f>
        <v>911399</v>
      </c>
      <c r="C43" s="812">
        <v>560305</v>
      </c>
      <c r="D43" s="742" t="s">
        <v>618</v>
      </c>
      <c r="E43" s="812">
        <f t="shared" ref="E43:G43" si="14">+E40-E42</f>
        <v>800041</v>
      </c>
      <c r="F43" s="812">
        <f t="shared" si="14"/>
        <v>0</v>
      </c>
      <c r="G43" s="812">
        <f t="shared" si="14"/>
        <v>0</v>
      </c>
      <c r="H43" s="814"/>
      <c r="I43" s="955">
        <f t="shared" si="12"/>
        <v>239736</v>
      </c>
      <c r="J43" s="760">
        <f t="shared" si="13"/>
        <v>0.42786696531353458</v>
      </c>
      <c r="K43" s="814"/>
      <c r="L43" s="880"/>
    </row>
    <row r="44" spans="1:14" s="886" customFormat="1" ht="16.5" thickBot="1">
      <c r="A44" s="817">
        <f t="shared" ref="A44:B44" si="15">SUM(A42:A43)</f>
        <v>719171</v>
      </c>
      <c r="B44" s="817">
        <f t="shared" si="15"/>
        <v>980421</v>
      </c>
      <c r="C44" s="817">
        <v>1241305</v>
      </c>
      <c r="D44" s="818" t="s">
        <v>869</v>
      </c>
      <c r="E44" s="817">
        <f t="shared" ref="E44:G44" si="16">SUM(E42:E43)</f>
        <v>1596041</v>
      </c>
      <c r="F44" s="817">
        <f t="shared" si="16"/>
        <v>0</v>
      </c>
      <c r="G44" s="817">
        <f t="shared" si="16"/>
        <v>0</v>
      </c>
      <c r="H44" s="882"/>
      <c r="I44" s="959"/>
      <c r="J44" s="883"/>
      <c r="K44" s="882"/>
      <c r="L44" s="884"/>
      <c r="M44" s="885"/>
      <c r="N44" s="885"/>
    </row>
    <row r="45" spans="1:14" ht="15.75" thickTop="1">
      <c r="A45" s="824"/>
      <c r="B45" s="804"/>
      <c r="C45" s="804"/>
      <c r="D45" s="810"/>
      <c r="E45" s="812"/>
      <c r="F45" s="824"/>
      <c r="G45" s="804"/>
      <c r="H45" s="822"/>
      <c r="I45" s="960"/>
      <c r="J45" s="804"/>
      <c r="K45" s="822"/>
      <c r="L45" s="880"/>
    </row>
    <row r="46" spans="1:14">
      <c r="A46" s="887"/>
      <c r="B46" s="888"/>
      <c r="C46" s="889"/>
      <c r="D46" s="997" t="s">
        <v>851</v>
      </c>
      <c r="E46" s="999">
        <f>+E40-E44</f>
        <v>0</v>
      </c>
      <c r="F46" s="999">
        <f t="shared" ref="F46:G46" si="17">+F40-F44</f>
        <v>0</v>
      </c>
      <c r="G46" s="999">
        <f t="shared" si="17"/>
        <v>0</v>
      </c>
      <c r="H46" s="807"/>
      <c r="I46" s="961"/>
      <c r="J46" s="807"/>
      <c r="K46" s="807"/>
      <c r="L46" s="880"/>
      <c r="M46" s="100"/>
      <c r="N46" s="100"/>
    </row>
    <row r="47" spans="1:14">
      <c r="A47" s="887"/>
      <c r="B47" s="891"/>
      <c r="C47" s="2" t="s">
        <v>965</v>
      </c>
      <c r="E47" s="436"/>
      <c r="F47" s="436"/>
      <c r="G47" s="436"/>
      <c r="H47" s="436"/>
      <c r="I47" s="961"/>
      <c r="J47" s="807"/>
      <c r="K47" s="807"/>
      <c r="L47" s="880"/>
      <c r="M47" s="100"/>
      <c r="N47" s="100"/>
    </row>
    <row r="48" spans="1:14">
      <c r="A48" s="887"/>
      <c r="B48" s="891"/>
      <c r="C48" s="889"/>
      <c r="D48" s="890"/>
      <c r="E48" s="812"/>
      <c r="F48" s="824"/>
      <c r="G48" s="807"/>
      <c r="H48" s="807"/>
      <c r="I48" s="961"/>
      <c r="J48" s="807"/>
      <c r="K48" s="807"/>
      <c r="L48" s="880"/>
      <c r="M48" s="100"/>
      <c r="N48" s="100"/>
    </row>
    <row r="49" spans="1:14">
      <c r="A49" s="887"/>
      <c r="B49" s="891"/>
      <c r="C49" s="889"/>
      <c r="D49" s="890"/>
      <c r="E49" s="812"/>
      <c r="F49" s="824"/>
      <c r="G49" s="807"/>
      <c r="H49" s="807"/>
      <c r="I49" s="961"/>
      <c r="J49" s="807"/>
      <c r="K49" s="807"/>
      <c r="L49" s="880"/>
      <c r="M49" s="100"/>
      <c r="N49" s="100"/>
    </row>
    <row r="50" spans="1:14">
      <c r="A50" s="887"/>
      <c r="B50" s="891"/>
      <c r="C50" s="889"/>
      <c r="D50" s="890"/>
      <c r="E50" s="812"/>
      <c r="F50" s="824"/>
      <c r="G50" s="807"/>
      <c r="H50" s="807"/>
      <c r="I50" s="961"/>
      <c r="J50" s="807"/>
      <c r="K50" s="807"/>
      <c r="L50" s="880"/>
      <c r="M50" s="100"/>
      <c r="N50" s="100"/>
    </row>
    <row r="51" spans="1:14" ht="18.75">
      <c r="A51" s="892" t="s">
        <v>870</v>
      </c>
      <c r="B51" s="891"/>
      <c r="C51" s="889"/>
      <c r="D51" s="890"/>
      <c r="E51" s="812"/>
      <c r="F51" s="824"/>
      <c r="G51" s="807"/>
      <c r="H51" s="807"/>
      <c r="I51" s="961"/>
      <c r="J51" s="807"/>
      <c r="K51" s="807"/>
      <c r="L51" s="880"/>
      <c r="M51" s="100"/>
      <c r="N51" s="100"/>
    </row>
    <row r="52" spans="1:14" ht="16.5">
      <c r="A52" s="893" t="s">
        <v>871</v>
      </c>
      <c r="B52" s="891"/>
      <c r="C52" s="889"/>
      <c r="D52" s="890"/>
      <c r="E52" s="812"/>
      <c r="F52" s="824"/>
      <c r="G52" s="807"/>
      <c r="H52" s="807"/>
      <c r="I52" s="961"/>
      <c r="J52" s="807"/>
      <c r="K52" s="807"/>
      <c r="L52" s="880"/>
      <c r="M52" s="100"/>
      <c r="N52" s="100"/>
    </row>
    <row r="53" spans="1:14" ht="16.5">
      <c r="A53" s="893" t="s">
        <v>872</v>
      </c>
      <c r="B53" s="891"/>
      <c r="C53" s="889"/>
      <c r="D53" s="890"/>
      <c r="E53" s="812"/>
      <c r="F53" s="810"/>
      <c r="G53" s="807"/>
      <c r="H53" s="807"/>
      <c r="I53" s="961"/>
      <c r="J53" s="807"/>
      <c r="K53" s="807"/>
      <c r="L53" s="880"/>
      <c r="M53" s="100"/>
      <c r="N53" s="100"/>
    </row>
    <row r="54" spans="1:14" ht="16.5">
      <c r="A54" s="893" t="s">
        <v>873</v>
      </c>
      <c r="B54" s="891"/>
      <c r="C54" s="889"/>
      <c r="D54" s="887"/>
      <c r="E54" s="812"/>
      <c r="F54" s="824"/>
      <c r="G54" s="807"/>
      <c r="H54" s="807"/>
      <c r="I54" s="961"/>
      <c r="J54" s="807"/>
      <c r="K54" s="807"/>
      <c r="L54" s="880"/>
      <c r="M54" s="100"/>
      <c r="N54" s="100"/>
    </row>
    <row r="55" spans="1:14" ht="16.5">
      <c r="A55" s="893" t="s">
        <v>874</v>
      </c>
      <c r="B55" s="891"/>
      <c r="C55" s="889"/>
      <c r="D55" s="890"/>
      <c r="E55" s="812"/>
      <c r="F55" s="824"/>
      <c r="G55" s="807"/>
      <c r="H55" s="807"/>
      <c r="I55" s="961"/>
      <c r="J55" s="807"/>
      <c r="K55" s="807"/>
      <c r="L55" s="880"/>
      <c r="M55" s="100"/>
      <c r="N55" s="100"/>
    </row>
    <row r="56" spans="1:14" ht="16.5">
      <c r="A56" s="893" t="s">
        <v>875</v>
      </c>
      <c r="B56" s="891"/>
      <c r="C56" s="889"/>
      <c r="D56" s="890"/>
      <c r="E56" s="812"/>
      <c r="F56" s="824"/>
      <c r="G56" s="807"/>
      <c r="H56" s="807"/>
      <c r="I56" s="961"/>
      <c r="J56" s="807"/>
      <c r="K56" s="807"/>
      <c r="L56" s="880"/>
      <c r="M56" s="100"/>
      <c r="N56" s="100"/>
    </row>
    <row r="57" spans="1:14" ht="16.5">
      <c r="A57" s="893" t="s">
        <v>876</v>
      </c>
      <c r="B57" s="891"/>
      <c r="C57" s="889"/>
      <c r="D57" s="890"/>
      <c r="E57" s="812"/>
      <c r="F57" s="824"/>
      <c r="G57" s="807"/>
      <c r="H57" s="807"/>
      <c r="I57" s="961"/>
      <c r="J57" s="807"/>
      <c r="K57" s="807"/>
      <c r="L57" s="880"/>
      <c r="M57" s="100"/>
      <c r="N57" s="100"/>
    </row>
    <row r="58" spans="1:14" ht="16.5">
      <c r="A58" s="893" t="s">
        <v>877</v>
      </c>
      <c r="B58" s="891"/>
      <c r="C58" s="889"/>
      <c r="D58" s="890"/>
      <c r="E58" s="812"/>
      <c r="F58" s="824"/>
      <c r="G58" s="807"/>
      <c r="H58" s="807"/>
      <c r="I58" s="961"/>
      <c r="J58" s="807"/>
      <c r="K58" s="807"/>
      <c r="L58" s="880"/>
      <c r="M58" s="100"/>
      <c r="N58" s="100"/>
    </row>
    <row r="59" spans="1:14" ht="16.5">
      <c r="A59" s="893" t="s">
        <v>878</v>
      </c>
      <c r="B59" s="894"/>
      <c r="C59" s="895"/>
      <c r="D59" s="896"/>
      <c r="E59" s="897"/>
      <c r="F59" s="898"/>
      <c r="G59" s="880"/>
      <c r="H59" s="880"/>
      <c r="I59" s="962"/>
      <c r="J59" s="880"/>
      <c r="K59" s="880"/>
      <c r="L59" s="880"/>
      <c r="M59" s="100"/>
      <c r="N59" s="100"/>
    </row>
    <row r="60" spans="1:14" ht="16.5">
      <c r="A60" s="893" t="s">
        <v>879</v>
      </c>
      <c r="B60" s="894"/>
      <c r="C60" s="895"/>
      <c r="D60" s="896"/>
      <c r="E60" s="897"/>
      <c r="F60" s="898"/>
      <c r="G60" s="880"/>
      <c r="H60" s="880"/>
      <c r="I60" s="962"/>
      <c r="J60" s="880"/>
      <c r="K60" s="880"/>
      <c r="L60" s="880"/>
      <c r="M60" s="100"/>
      <c r="N60" s="100"/>
    </row>
    <row r="61" spans="1:14" ht="16.5">
      <c r="A61" s="893" t="s">
        <v>880</v>
      </c>
      <c r="B61" s="894"/>
      <c r="C61" s="895"/>
      <c r="D61" s="896"/>
      <c r="E61" s="899"/>
      <c r="F61" s="900"/>
      <c r="G61" s="100"/>
      <c r="H61" s="100"/>
      <c r="I61" s="963"/>
      <c r="J61" s="737"/>
      <c r="K61" s="100"/>
      <c r="M61" s="100"/>
      <c r="N61" s="100"/>
    </row>
    <row r="62" spans="1:14" ht="16.5">
      <c r="A62" s="893" t="s">
        <v>881</v>
      </c>
      <c r="B62" s="901"/>
      <c r="C62" s="896"/>
      <c r="D62" s="896"/>
      <c r="E62" s="899"/>
      <c r="F62" s="900"/>
      <c r="G62" s="100"/>
      <c r="H62" s="100"/>
      <c r="I62" s="963"/>
      <c r="J62" s="737"/>
      <c r="K62" s="100"/>
      <c r="M62" s="100"/>
      <c r="N62" s="100"/>
    </row>
    <row r="63" spans="1:14" ht="16.5">
      <c r="A63" s="893" t="s">
        <v>882</v>
      </c>
      <c r="B63" s="901"/>
      <c r="C63" s="896"/>
      <c r="D63" s="896"/>
      <c r="E63" s="899"/>
      <c r="F63" s="900"/>
      <c r="G63" s="100"/>
      <c r="H63" s="100"/>
      <c r="I63" s="963"/>
      <c r="J63" s="737"/>
      <c r="K63" s="100"/>
      <c r="M63" s="100"/>
      <c r="N63" s="100"/>
    </row>
    <row r="64" spans="1:14" ht="16.5">
      <c r="A64" s="893" t="s">
        <v>883</v>
      </c>
      <c r="B64" s="901"/>
      <c r="C64" s="896"/>
      <c r="D64" s="896"/>
      <c r="E64" s="899"/>
      <c r="F64" s="900"/>
      <c r="G64" s="100"/>
      <c r="H64" s="100"/>
      <c r="I64" s="963"/>
      <c r="J64" s="737"/>
      <c r="K64" s="100"/>
      <c r="M64" s="100"/>
      <c r="N64" s="100"/>
    </row>
    <row r="65" spans="1:14" ht="16.5">
      <c r="A65" s="893" t="s">
        <v>884</v>
      </c>
      <c r="B65" s="901"/>
      <c r="C65" s="896"/>
      <c r="D65" s="896"/>
      <c r="E65" s="899"/>
      <c r="F65" s="900"/>
      <c r="G65" s="100"/>
      <c r="H65" s="100"/>
      <c r="I65" s="963"/>
      <c r="J65" s="737"/>
      <c r="K65" s="100"/>
      <c r="M65" s="100"/>
      <c r="N65" s="100"/>
    </row>
    <row r="66" spans="1:14" ht="16.5">
      <c r="A66" s="893"/>
      <c r="B66" s="901"/>
      <c r="C66" s="896"/>
      <c r="D66" s="896"/>
      <c r="E66" s="899"/>
      <c r="F66" s="900"/>
      <c r="G66" s="100"/>
      <c r="H66" s="100"/>
      <c r="I66" s="963"/>
      <c r="J66" s="737"/>
      <c r="K66" s="100"/>
      <c r="M66" s="100"/>
      <c r="N66" s="100"/>
    </row>
    <row r="67" spans="1:14">
      <c r="A67" s="73" t="s">
        <v>885</v>
      </c>
      <c r="B67" s="901"/>
      <c r="C67" s="896"/>
      <c r="D67" s="896"/>
      <c r="E67" s="899"/>
      <c r="F67" s="900"/>
      <c r="G67" s="100"/>
      <c r="H67" s="100"/>
      <c r="I67" s="963"/>
      <c r="J67" s="737"/>
      <c r="K67" s="100"/>
      <c r="M67" s="100"/>
      <c r="N67" s="100"/>
    </row>
    <row r="68" spans="1:14">
      <c r="A68" s="73" t="s">
        <v>886</v>
      </c>
      <c r="B68" s="901"/>
      <c r="C68" s="896"/>
      <c r="D68" s="900"/>
      <c r="E68" s="899"/>
      <c r="F68" s="900"/>
      <c r="G68" s="100"/>
      <c r="H68" s="100"/>
      <c r="I68" s="964"/>
      <c r="J68" s="100"/>
      <c r="K68" s="100"/>
      <c r="M68" s="100"/>
      <c r="N68" s="100"/>
    </row>
    <row r="69" spans="1:14">
      <c r="A69" s="73" t="s">
        <v>887</v>
      </c>
      <c r="B69" s="901"/>
      <c r="C69" s="896"/>
      <c r="D69" s="900"/>
      <c r="E69" s="899"/>
      <c r="F69" s="900"/>
      <c r="G69" s="100"/>
      <c r="H69" s="100"/>
      <c r="I69" s="964"/>
      <c r="J69" s="100"/>
      <c r="K69" s="100"/>
      <c r="M69" s="100"/>
      <c r="N69" s="100"/>
    </row>
    <row r="70" spans="1:14">
      <c r="A70" s="73" t="s">
        <v>888</v>
      </c>
      <c r="B70" s="901"/>
      <c r="C70" s="896"/>
      <c r="D70" s="900"/>
      <c r="E70" s="899"/>
      <c r="G70" s="100"/>
      <c r="H70" s="100"/>
      <c r="I70" s="964"/>
      <c r="J70" s="100"/>
      <c r="K70" s="100"/>
      <c r="M70" s="100"/>
      <c r="N70" s="100"/>
    </row>
    <row r="71" spans="1:14">
      <c r="A71" s="503" t="s">
        <v>889</v>
      </c>
      <c r="B71" s="901"/>
      <c r="C71" s="896"/>
      <c r="D71" s="900"/>
      <c r="E71" s="899"/>
      <c r="G71" s="100"/>
      <c r="H71" s="100"/>
      <c r="I71" s="964"/>
      <c r="J71" s="100"/>
      <c r="K71" s="100"/>
      <c r="M71" s="100"/>
      <c r="N71" s="100"/>
    </row>
    <row r="72" spans="1:14">
      <c r="A72" s="842"/>
      <c r="B72" s="901"/>
      <c r="C72" s="896"/>
      <c r="D72" s="900"/>
      <c r="E72" s="899"/>
      <c r="G72" s="100"/>
      <c r="H72" s="100"/>
      <c r="I72" s="964"/>
      <c r="J72" s="100"/>
      <c r="K72" s="100"/>
      <c r="M72" s="100"/>
      <c r="N72" s="100"/>
    </row>
    <row r="73" spans="1:14">
      <c r="A73" s="853"/>
      <c r="B73" s="901"/>
      <c r="C73" s="896"/>
      <c r="D73" s="900"/>
      <c r="E73" s="899"/>
      <c r="G73" s="100"/>
      <c r="H73" s="100"/>
      <c r="I73" s="964"/>
      <c r="J73" s="100"/>
      <c r="K73" s="100"/>
      <c r="M73" s="100"/>
      <c r="N73" s="100"/>
    </row>
    <row r="74" spans="1:14">
      <c r="A74" s="853"/>
      <c r="B74" s="901"/>
      <c r="C74" s="896"/>
      <c r="D74" s="900"/>
      <c r="E74" s="899"/>
      <c r="G74" s="100"/>
      <c r="H74" s="100"/>
      <c r="I74" s="964"/>
      <c r="J74" s="100"/>
      <c r="K74" s="100"/>
      <c r="M74" s="100"/>
      <c r="N74" s="100"/>
    </row>
    <row r="75" spans="1:14">
      <c r="A75" s="900"/>
      <c r="B75" s="901"/>
      <c r="C75" s="896"/>
      <c r="D75" s="900"/>
      <c r="E75" s="899"/>
      <c r="G75" s="100"/>
      <c r="H75" s="100"/>
      <c r="I75" s="964"/>
      <c r="J75" s="100"/>
      <c r="K75" s="100"/>
      <c r="M75" s="100"/>
      <c r="N75" s="100"/>
    </row>
    <row r="76" spans="1:14">
      <c r="A76" s="900"/>
      <c r="B76" s="901"/>
      <c r="C76" s="896"/>
      <c r="D76" s="900"/>
      <c r="E76" s="899"/>
      <c r="G76" s="100"/>
      <c r="H76" s="100"/>
      <c r="I76" s="964"/>
      <c r="J76" s="100"/>
      <c r="K76" s="100"/>
      <c r="M76" s="100"/>
      <c r="N76" s="100"/>
    </row>
    <row r="77" spans="1:14">
      <c r="A77" s="900"/>
      <c r="B77" s="901"/>
      <c r="C77" s="896"/>
      <c r="D77" s="900"/>
      <c r="E77" s="901"/>
      <c r="G77" s="100"/>
      <c r="H77" s="100"/>
      <c r="I77" s="964"/>
      <c r="J77" s="100"/>
      <c r="K77" s="100"/>
      <c r="M77" s="100"/>
      <c r="N77" s="100"/>
    </row>
    <row r="78" spans="1:14">
      <c r="A78" s="900"/>
      <c r="B78" s="901"/>
      <c r="C78" s="896"/>
      <c r="D78" s="900"/>
      <c r="E78" s="901"/>
      <c r="G78" s="100"/>
      <c r="H78" s="100"/>
      <c r="I78" s="964"/>
      <c r="J78" s="100"/>
      <c r="K78" s="100"/>
      <c r="M78" s="100"/>
      <c r="N78" s="100"/>
    </row>
    <row r="79" spans="1:14">
      <c r="A79" s="900"/>
      <c r="B79" s="901"/>
      <c r="C79" s="900"/>
      <c r="D79" s="900"/>
      <c r="E79" s="901"/>
      <c r="G79" s="100"/>
      <c r="H79" s="100"/>
      <c r="I79" s="964"/>
      <c r="J79" s="100"/>
      <c r="K79" s="100"/>
      <c r="M79" s="100"/>
      <c r="N79" s="100"/>
    </row>
    <row r="80" spans="1:14">
      <c r="A80" s="900"/>
      <c r="B80" s="901"/>
      <c r="C80" s="900"/>
      <c r="D80" s="900"/>
      <c r="E80" s="901"/>
      <c r="G80" s="100"/>
      <c r="H80" s="100"/>
      <c r="I80" s="964"/>
      <c r="J80" s="100"/>
      <c r="K80" s="100"/>
      <c r="M80" s="100"/>
      <c r="N80" s="100"/>
    </row>
    <row r="81" spans="9:9" s="100" customFormat="1">
      <c r="I81" s="964"/>
    </row>
    <row r="82" spans="9:9" s="100" customFormat="1">
      <c r="I82" s="964"/>
    </row>
    <row r="83" spans="9:9" s="100" customFormat="1">
      <c r="I83" s="964"/>
    </row>
    <row r="84" spans="9:9" s="100" customFormat="1">
      <c r="I84" s="964"/>
    </row>
    <row r="85" spans="9:9" s="100" customFormat="1">
      <c r="I85" s="964"/>
    </row>
    <row r="86" spans="9:9" s="100" customFormat="1">
      <c r="I86" s="964"/>
    </row>
    <row r="87" spans="9:9" s="100" customFormat="1">
      <c r="I87" s="964"/>
    </row>
    <row r="88" spans="9:9" s="100" customFormat="1">
      <c r="I88" s="964"/>
    </row>
    <row r="89" spans="9:9" s="100" customFormat="1">
      <c r="I89" s="964"/>
    </row>
    <row r="90" spans="9:9" s="100" customFormat="1">
      <c r="I90" s="964"/>
    </row>
    <row r="91" spans="9:9" s="100" customFormat="1">
      <c r="I91" s="964"/>
    </row>
    <row r="92" spans="9:9" s="100" customFormat="1">
      <c r="I92" s="964"/>
    </row>
    <row r="93" spans="9:9" s="100" customFormat="1">
      <c r="I93" s="964"/>
    </row>
    <row r="94" spans="9:9" s="100" customFormat="1">
      <c r="I94" s="964"/>
    </row>
    <row r="95" spans="9:9" s="100" customFormat="1">
      <c r="I95" s="964"/>
    </row>
    <row r="96" spans="9:9" s="100" customFormat="1">
      <c r="I96" s="964"/>
    </row>
    <row r="97" spans="9:9" s="100" customFormat="1">
      <c r="I97" s="964"/>
    </row>
    <row r="98" spans="9:9" s="100" customFormat="1">
      <c r="I98" s="964"/>
    </row>
    <row r="99" spans="9:9" s="100" customFormat="1">
      <c r="I99" s="964"/>
    </row>
    <row r="100" spans="9:9" s="100" customFormat="1">
      <c r="I100" s="964"/>
    </row>
    <row r="101" spans="9:9" s="100" customFormat="1">
      <c r="I101" s="964"/>
    </row>
    <row r="102" spans="9:9" s="100" customFormat="1">
      <c r="I102" s="964"/>
    </row>
    <row r="103" spans="9:9" s="100" customFormat="1">
      <c r="I103" s="964"/>
    </row>
    <row r="104" spans="9:9" s="100" customFormat="1">
      <c r="I104" s="964"/>
    </row>
    <row r="105" spans="9:9" s="100" customFormat="1">
      <c r="I105" s="964"/>
    </row>
    <row r="106" spans="9:9" s="100" customFormat="1">
      <c r="I106" s="964"/>
    </row>
    <row r="107" spans="9:9" s="100" customFormat="1">
      <c r="I107" s="964"/>
    </row>
    <row r="108" spans="9:9" s="100" customFormat="1">
      <c r="I108" s="964"/>
    </row>
    <row r="109" spans="9:9" s="100" customFormat="1">
      <c r="I109" s="964"/>
    </row>
    <row r="110" spans="9:9" s="100" customFormat="1">
      <c r="I110" s="964"/>
    </row>
    <row r="111" spans="9:9" s="100" customFormat="1">
      <c r="I111" s="964"/>
    </row>
    <row r="112" spans="9:9" s="100" customFormat="1">
      <c r="I112" s="964"/>
    </row>
    <row r="113" spans="9:9" s="100" customFormat="1">
      <c r="I113" s="964"/>
    </row>
    <row r="114" spans="9:9" s="100" customFormat="1">
      <c r="I114" s="964"/>
    </row>
    <row r="115" spans="9:9" s="100" customFormat="1">
      <c r="I115" s="964"/>
    </row>
    <row r="116" spans="9:9" s="100" customFormat="1">
      <c r="I116" s="964"/>
    </row>
    <row r="117" spans="9:9" s="100" customFormat="1">
      <c r="I117" s="964"/>
    </row>
    <row r="118" spans="9:9" s="100" customFormat="1">
      <c r="I118" s="964"/>
    </row>
    <row r="119" spans="9:9" s="100" customFormat="1">
      <c r="I119" s="964"/>
    </row>
    <row r="120" spans="9:9" s="100" customFormat="1">
      <c r="I120" s="964"/>
    </row>
    <row r="121" spans="9:9" s="100" customFormat="1">
      <c r="I121" s="964"/>
    </row>
    <row r="122" spans="9:9" s="100" customFormat="1">
      <c r="I122" s="964"/>
    </row>
    <row r="123" spans="9:9" s="100" customFormat="1">
      <c r="I123" s="964"/>
    </row>
    <row r="124" spans="9:9" s="100" customFormat="1">
      <c r="I124" s="964"/>
    </row>
    <row r="125" spans="9:9" s="100" customFormat="1">
      <c r="I125" s="964"/>
    </row>
    <row r="126" spans="9:9" s="100" customFormat="1">
      <c r="I126" s="964"/>
    </row>
    <row r="127" spans="9:9" s="100" customFormat="1">
      <c r="I127" s="964"/>
    </row>
    <row r="128" spans="9:9" s="100" customFormat="1">
      <c r="I128" s="964"/>
    </row>
    <row r="129" spans="9:9" s="100" customFormat="1">
      <c r="I129" s="964"/>
    </row>
    <row r="130" spans="9:9" s="100" customFormat="1">
      <c r="I130" s="964"/>
    </row>
    <row r="131" spans="9:9" s="100" customFormat="1">
      <c r="I131" s="964"/>
    </row>
    <row r="132" spans="9:9" s="100" customFormat="1">
      <c r="I132" s="964"/>
    </row>
    <row r="133" spans="9:9" s="100" customFormat="1">
      <c r="I133" s="964"/>
    </row>
    <row r="134" spans="9:9" s="100" customFormat="1">
      <c r="I134" s="964"/>
    </row>
    <row r="135" spans="9:9" s="100" customFormat="1">
      <c r="I135" s="964"/>
    </row>
    <row r="136" spans="9:9" s="100" customFormat="1">
      <c r="I136" s="964"/>
    </row>
    <row r="137" spans="9:9" s="100" customFormat="1">
      <c r="I137" s="964"/>
    </row>
    <row r="138" spans="9:9" s="100" customFormat="1">
      <c r="I138" s="964"/>
    </row>
    <row r="139" spans="9:9" s="100" customFormat="1">
      <c r="I139" s="964"/>
    </row>
    <row r="140" spans="9:9" s="100" customFormat="1">
      <c r="I140" s="964"/>
    </row>
    <row r="141" spans="9:9" s="100" customFormat="1">
      <c r="I141" s="964"/>
    </row>
    <row r="142" spans="9:9" s="100" customFormat="1">
      <c r="I142" s="964"/>
    </row>
    <row r="143" spans="9:9" s="100" customFormat="1">
      <c r="I143" s="964"/>
    </row>
    <row r="144" spans="9:9" s="100" customFormat="1">
      <c r="I144" s="964"/>
    </row>
    <row r="145" spans="9:9" s="100" customFormat="1">
      <c r="I145" s="964"/>
    </row>
    <row r="146" spans="9:9" s="100" customFormat="1">
      <c r="I146" s="964"/>
    </row>
    <row r="147" spans="9:9" s="100" customFormat="1">
      <c r="I147" s="964"/>
    </row>
    <row r="148" spans="9:9" s="100" customFormat="1">
      <c r="I148" s="964"/>
    </row>
  </sheetData>
  <mergeCells count="2">
    <mergeCell ref="C1:E1"/>
    <mergeCell ref="C2:E2"/>
  </mergeCells>
  <pageMargins left="0.25" right="0.25" top="0.75" bottom="0.2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S148"/>
  <sheetViews>
    <sheetView workbookViewId="0"/>
  </sheetViews>
  <sheetFormatPr defaultColWidth="11.77734375" defaultRowHeight="15"/>
  <cols>
    <col min="1" max="1" width="6.6640625" style="100" customWidth="1"/>
    <col min="2" max="2" width="6.6640625" style="737" customWidth="1"/>
    <col min="3" max="3" width="6.6640625" style="100" customWidth="1"/>
    <col min="4" max="4" width="30.77734375" style="100" customWidth="1"/>
    <col min="5" max="5" width="10.109375" style="737" customWidth="1"/>
    <col min="6" max="6" width="9.6640625" style="100" customWidth="1"/>
    <col min="7" max="7" width="9.33203125" style="737" customWidth="1"/>
    <col min="8" max="8" width="4.77734375" style="902" customWidth="1"/>
    <col min="9" max="9" width="9.77734375" style="902" customWidth="1"/>
    <col min="10" max="10" width="6.6640625" style="100" customWidth="1"/>
    <col min="11" max="14" width="11.77734375" style="495"/>
    <col min="15" max="15" width="16.6640625" style="495" customWidth="1"/>
    <col min="16" max="16" width="11.6640625" style="495" customWidth="1"/>
    <col min="17" max="17" width="12.6640625" style="495" customWidth="1"/>
    <col min="18" max="18" width="4.6640625" style="100" customWidth="1"/>
    <col min="19" max="19" width="11.6640625" style="100" customWidth="1"/>
    <col min="20" max="16384" width="11.77734375" style="100"/>
  </cols>
  <sheetData>
    <row r="1" spans="1:19" s="841" customFormat="1" ht="15.75" customHeight="1">
      <c r="A1" s="837"/>
      <c r="B1" s="838"/>
      <c r="C1" s="1063" t="s">
        <v>315</v>
      </c>
      <c r="D1" s="1063"/>
      <c r="E1" s="1063"/>
      <c r="F1" s="839"/>
      <c r="G1" s="840"/>
      <c r="H1" s="840"/>
      <c r="K1" s="842"/>
      <c r="M1" s="842"/>
      <c r="N1" s="842"/>
      <c r="O1" s="842"/>
      <c r="P1" s="842"/>
      <c r="Q1" s="842"/>
    </row>
    <row r="2" spans="1:19" s="841" customFormat="1" ht="18.75" customHeight="1">
      <c r="A2" s="843"/>
      <c r="B2" s="843"/>
      <c r="C2" s="1064" t="str">
        <f>+'[2]General FY2024-25'!C2:F2</f>
        <v>Fiscal Year 2024 - 2025 Budget</v>
      </c>
      <c r="D2" s="1064"/>
      <c r="E2" s="1064"/>
      <c r="F2" s="844"/>
      <c r="G2" s="844"/>
      <c r="H2" s="844"/>
      <c r="I2" s="844"/>
      <c r="K2" s="842"/>
      <c r="M2" s="842"/>
      <c r="N2" s="842"/>
      <c r="O2" s="842"/>
      <c r="P2" s="842"/>
      <c r="Q2" s="842"/>
    </row>
    <row r="3" spans="1:19" s="841" customFormat="1" ht="15.75" customHeight="1">
      <c r="A3" s="742"/>
      <c r="B3" s="742"/>
      <c r="C3" s="742"/>
      <c r="D3" s="81"/>
      <c r="E3" s="716"/>
      <c r="F3" s="716"/>
      <c r="G3" s="716"/>
      <c r="H3" s="716"/>
      <c r="I3" s="753"/>
      <c r="J3" s="842"/>
      <c r="K3" s="842"/>
      <c r="L3" s="842"/>
      <c r="M3" s="842"/>
      <c r="N3" s="842"/>
      <c r="O3" s="842"/>
      <c r="P3" s="842"/>
      <c r="Q3" s="842"/>
    </row>
    <row r="4" spans="1:19" s="841" customFormat="1" ht="15.75" customHeight="1">
      <c r="A4" s="903" t="s">
        <v>761</v>
      </c>
      <c r="B4" s="903" t="s">
        <v>762</v>
      </c>
      <c r="C4" s="904" t="s">
        <v>763</v>
      </c>
      <c r="D4" s="744"/>
      <c r="E4" s="745" t="str">
        <f>+'[2]General FY2024-25'!F4</f>
        <v>2024-2025</v>
      </c>
      <c r="F4" s="746" t="str">
        <f>+E4</f>
        <v>2024-2025</v>
      </c>
      <c r="G4" s="746" t="str">
        <f>+F4</f>
        <v>2024-2025</v>
      </c>
      <c r="H4" s="740"/>
      <c r="I4" s="740"/>
      <c r="J4" s="905"/>
      <c r="K4" s="842"/>
      <c r="L4" s="842"/>
      <c r="M4" s="842"/>
      <c r="N4" s="842"/>
      <c r="O4" s="842"/>
      <c r="P4" s="842"/>
      <c r="Q4" s="842"/>
    </row>
    <row r="5" spans="1:19" s="841" customFormat="1" ht="15.75" customHeight="1" thickBot="1">
      <c r="A5" s="906" t="s">
        <v>766</v>
      </c>
      <c r="B5" s="906" t="s">
        <v>766</v>
      </c>
      <c r="C5" s="907" t="s">
        <v>767</v>
      </c>
      <c r="D5" s="749" t="s">
        <v>768</v>
      </c>
      <c r="E5" s="748" t="s">
        <v>770</v>
      </c>
      <c r="F5" s="747" t="s">
        <v>771</v>
      </c>
      <c r="G5" s="747" t="s">
        <v>767</v>
      </c>
      <c r="H5" s="846"/>
      <c r="I5" s="846"/>
      <c r="J5" s="905"/>
      <c r="K5" s="842"/>
      <c r="L5" s="842"/>
      <c r="M5" s="842"/>
      <c r="N5" s="842"/>
      <c r="O5" s="842"/>
      <c r="P5" s="842"/>
      <c r="Q5" s="842"/>
    </row>
    <row r="6" spans="1:19" s="841" customFormat="1" ht="15.75" customHeight="1" thickTop="1">
      <c r="A6" s="846"/>
      <c r="B6" s="846"/>
      <c r="C6" s="848"/>
      <c r="D6" s="849"/>
      <c r="E6" s="850"/>
      <c r="F6" s="851"/>
      <c r="G6" s="848"/>
      <c r="H6" s="852"/>
      <c r="I6" s="852"/>
      <c r="J6" s="842"/>
      <c r="K6" s="842"/>
      <c r="L6" s="842"/>
      <c r="M6" s="842"/>
      <c r="N6" s="842"/>
      <c r="O6" s="842"/>
      <c r="P6" s="842"/>
      <c r="Q6" s="842"/>
    </row>
    <row r="7" spans="1:19" s="841" customFormat="1" ht="15.75" customHeight="1">
      <c r="A7" s="846"/>
      <c r="B7" s="846"/>
      <c r="C7" s="848"/>
      <c r="D7" s="754" t="s">
        <v>890</v>
      </c>
      <c r="E7" s="850"/>
      <c r="F7" s="851"/>
      <c r="G7" s="848"/>
      <c r="H7" s="852"/>
      <c r="I7" s="852"/>
      <c r="J7" s="842"/>
      <c r="K7" s="842"/>
      <c r="L7" s="842"/>
      <c r="M7" s="842"/>
      <c r="N7" s="842"/>
      <c r="O7" s="842"/>
      <c r="P7" s="842"/>
      <c r="Q7" s="842"/>
    </row>
    <row r="8" spans="1:19" s="841" customFormat="1" ht="15.75" customHeight="1">
      <c r="A8" s="846"/>
      <c r="B8" s="846"/>
      <c r="C8" s="848"/>
      <c r="D8" s="755"/>
      <c r="E8" s="850"/>
      <c r="F8" s="851"/>
      <c r="G8" s="848"/>
      <c r="H8" s="852"/>
      <c r="I8" s="852"/>
      <c r="J8" s="842"/>
      <c r="K8" s="842"/>
      <c r="L8" s="842"/>
      <c r="M8" s="842"/>
      <c r="N8" s="842"/>
      <c r="O8" s="842"/>
      <c r="P8" s="842"/>
      <c r="Q8" s="842"/>
    </row>
    <row r="9" spans="1:19" s="853" customFormat="1" ht="15.75" customHeight="1">
      <c r="A9" s="846"/>
      <c r="B9" s="846"/>
      <c r="C9" s="848"/>
      <c r="D9" s="757" t="s">
        <v>773</v>
      </c>
      <c r="E9" s="850"/>
      <c r="F9" s="851"/>
      <c r="G9" s="848"/>
      <c r="H9" s="852"/>
      <c r="I9" s="852"/>
      <c r="J9" s="854"/>
      <c r="K9" s="854"/>
      <c r="L9" s="854"/>
      <c r="M9" s="908"/>
      <c r="N9" s="908"/>
      <c r="O9" s="908"/>
      <c r="P9" s="855"/>
      <c r="Q9" s="855"/>
      <c r="R9" s="855"/>
    </row>
    <row r="10" spans="1:19" s="853" customFormat="1" ht="15.75" customHeight="1">
      <c r="A10" s="846"/>
      <c r="B10" s="846"/>
      <c r="C10" s="848"/>
      <c r="D10" s="755"/>
      <c r="E10" s="753"/>
      <c r="F10" s="499"/>
      <c r="G10" s="751"/>
      <c r="H10" s="856"/>
      <c r="I10" s="856"/>
      <c r="J10" s="909"/>
      <c r="K10" s="854"/>
      <c r="L10" s="854"/>
      <c r="M10" s="908"/>
      <c r="N10" s="908"/>
      <c r="O10" s="908"/>
      <c r="P10" s="855"/>
      <c r="Q10" s="855"/>
      <c r="R10" s="855"/>
    </row>
    <row r="11" spans="1:19" s="853" customFormat="1" ht="15.75" customHeight="1">
      <c r="A11" s="759"/>
      <c r="B11" s="759"/>
      <c r="C11" s="759"/>
      <c r="D11" s="717" t="s">
        <v>774</v>
      </c>
      <c r="E11" s="759">
        <f>+'YE Projections'!I117</f>
        <v>15688.009372758517</v>
      </c>
      <c r="F11" s="759"/>
      <c r="G11" s="759"/>
      <c r="H11" s="759"/>
      <c r="I11" s="863"/>
      <c r="J11" s="909"/>
      <c r="K11" s="854"/>
      <c r="L11" s="854"/>
      <c r="M11" s="910"/>
      <c r="N11" s="908"/>
      <c r="O11" s="908"/>
      <c r="P11" s="855"/>
      <c r="Q11" s="855"/>
      <c r="R11" s="855"/>
      <c r="S11" s="855"/>
    </row>
    <row r="12" spans="1:19" s="853" customFormat="1" ht="15.75" customHeight="1">
      <c r="A12" s="761"/>
      <c r="B12" s="761"/>
      <c r="C12" s="761">
        <v>15000</v>
      </c>
      <c r="D12" s="717" t="s">
        <v>891</v>
      </c>
      <c r="E12" s="761">
        <f>+'[2]FY24-25 Worksheet'!G121</f>
        <v>0</v>
      </c>
      <c r="F12" s="759"/>
      <c r="G12" s="759"/>
      <c r="H12" s="857"/>
      <c r="I12" s="911"/>
      <c r="J12" s="909"/>
      <c r="K12" s="854"/>
      <c r="L12" s="854"/>
      <c r="M12" s="910"/>
      <c r="N12" s="908"/>
      <c r="O12" s="908"/>
      <c r="P12" s="855"/>
      <c r="Q12" s="855"/>
      <c r="R12" s="855"/>
      <c r="S12" s="858"/>
    </row>
    <row r="13" spans="1:19" s="853" customFormat="1" ht="15.75" customHeight="1">
      <c r="A13" s="759"/>
      <c r="B13" s="759"/>
      <c r="C13" s="759">
        <v>264</v>
      </c>
      <c r="D13" s="717" t="s">
        <v>580</v>
      </c>
      <c r="E13" s="759">
        <f>+'YE Projections'!I119</f>
        <v>328.06293380710724</v>
      </c>
      <c r="F13" s="759"/>
      <c r="G13" s="759"/>
      <c r="H13" s="759"/>
      <c r="I13" s="863"/>
      <c r="J13" s="909"/>
      <c r="K13" s="854"/>
      <c r="L13" s="854"/>
      <c r="M13" s="854"/>
      <c r="N13" s="854"/>
      <c r="O13" s="854"/>
      <c r="P13" s="854"/>
      <c r="Q13" s="854"/>
    </row>
    <row r="14" spans="1:19" s="853" customFormat="1" ht="15.75" customHeight="1">
      <c r="A14" s="759"/>
      <c r="B14" s="759"/>
      <c r="C14" s="759"/>
      <c r="D14" s="717"/>
      <c r="E14" s="759"/>
      <c r="F14" s="759"/>
      <c r="G14" s="759"/>
      <c r="H14" s="759"/>
      <c r="I14" s="863"/>
      <c r="J14" s="909"/>
      <c r="K14" s="854"/>
      <c r="L14" s="854"/>
      <c r="M14" s="854"/>
      <c r="N14" s="854"/>
      <c r="O14" s="854"/>
      <c r="P14" s="854"/>
      <c r="Q14" s="854"/>
    </row>
    <row r="15" spans="1:19" s="853" customFormat="1" ht="15.75" customHeight="1" thickBot="1">
      <c r="A15" s="761"/>
      <c r="B15" s="761"/>
      <c r="C15" s="759"/>
      <c r="D15" s="728"/>
      <c r="E15" s="759"/>
      <c r="F15" s="719"/>
      <c r="G15" s="759"/>
      <c r="H15" s="719"/>
      <c r="I15" s="493"/>
      <c r="J15" s="909"/>
      <c r="K15" s="854"/>
      <c r="L15" s="854"/>
      <c r="M15" s="854"/>
      <c r="N15" s="854"/>
      <c r="O15" s="854"/>
      <c r="P15" s="854"/>
      <c r="Q15" s="854"/>
    </row>
    <row r="16" spans="1:19" s="853" customFormat="1" ht="25.5" customHeight="1" thickBot="1">
      <c r="A16" s="773">
        <v>0</v>
      </c>
      <c r="B16" s="773">
        <f t="shared" ref="B16:C16" si="0">SUM(B11:B15)</f>
        <v>0</v>
      </c>
      <c r="C16" s="773">
        <f t="shared" si="0"/>
        <v>15264</v>
      </c>
      <c r="D16" s="774" t="s">
        <v>785</v>
      </c>
      <c r="E16" s="773">
        <f>SUM(E11:E14)</f>
        <v>16016.072306565624</v>
      </c>
      <c r="F16" s="773">
        <f>SUM(F11:F14)</f>
        <v>0</v>
      </c>
      <c r="G16" s="773">
        <f t="shared" ref="G16" si="1">SUM(G11:G14)</f>
        <v>0</v>
      </c>
      <c r="H16" s="507"/>
      <c r="I16" s="507"/>
      <c r="J16" s="909"/>
      <c r="K16" s="859"/>
      <c r="L16" s="854"/>
      <c r="M16" s="854"/>
      <c r="N16" s="854"/>
      <c r="O16" s="854"/>
      <c r="P16" s="854"/>
      <c r="Q16" s="854"/>
    </row>
    <row r="17" spans="1:17" s="853" customFormat="1" ht="15.75" customHeight="1">
      <c r="A17" s="507"/>
      <c r="B17" s="507"/>
      <c r="C17" s="507"/>
      <c r="D17" s="860"/>
      <c r="E17" s="861"/>
      <c r="F17" s="507"/>
      <c r="G17" s="507"/>
      <c r="H17" s="507"/>
      <c r="I17" s="507"/>
      <c r="J17" s="909"/>
      <c r="K17" s="854"/>
      <c r="L17" s="854"/>
      <c r="M17" s="854"/>
      <c r="N17" s="854"/>
      <c r="O17" s="854"/>
      <c r="P17" s="854"/>
      <c r="Q17" s="854"/>
    </row>
    <row r="18" spans="1:17" s="853" customFormat="1" ht="15.75" customHeight="1">
      <c r="A18" s="507"/>
      <c r="B18" s="507"/>
      <c r="C18" s="507"/>
      <c r="D18" s="757" t="s">
        <v>786</v>
      </c>
      <c r="E18" s="861"/>
      <c r="F18" s="507"/>
      <c r="G18" s="507"/>
      <c r="H18" s="507"/>
      <c r="I18" s="507"/>
      <c r="J18" s="909"/>
      <c r="K18" s="912"/>
      <c r="L18" s="913"/>
      <c r="M18" s="914"/>
      <c r="N18" s="915"/>
      <c r="O18" s="854"/>
      <c r="P18" s="854"/>
      <c r="Q18" s="854"/>
    </row>
    <row r="19" spans="1:17" s="853" customFormat="1" ht="15.75" customHeight="1">
      <c r="A19" s="507"/>
      <c r="B19" s="507"/>
      <c r="C19" s="507"/>
      <c r="D19" s="757"/>
      <c r="E19" s="861"/>
      <c r="F19" s="507"/>
      <c r="G19" s="507"/>
      <c r="H19" s="507"/>
      <c r="I19" s="507"/>
      <c r="J19" s="909"/>
      <c r="K19" s="916"/>
      <c r="L19" s="917"/>
      <c r="M19" s="918"/>
      <c r="N19" s="915"/>
      <c r="O19" s="854"/>
      <c r="P19" s="854"/>
      <c r="Q19" s="854"/>
    </row>
    <row r="20" spans="1:17" s="853" customFormat="1" ht="15.75" customHeight="1">
      <c r="A20" s="507"/>
      <c r="B20" s="507"/>
      <c r="C20" s="507"/>
      <c r="D20" s="789" t="s">
        <v>431</v>
      </c>
      <c r="E20" s="861"/>
      <c r="F20" s="507"/>
      <c r="G20" s="507"/>
      <c r="H20" s="507"/>
      <c r="I20" s="507"/>
      <c r="J20" s="909"/>
      <c r="K20" s="916"/>
      <c r="L20" s="917"/>
      <c r="M20" s="918"/>
      <c r="N20" s="915"/>
      <c r="O20" s="854"/>
      <c r="P20" s="854"/>
      <c r="Q20" s="854"/>
    </row>
    <row r="21" spans="1:17" s="853" customFormat="1" ht="15.75" customHeight="1">
      <c r="A21" s="507"/>
      <c r="B21" s="507"/>
      <c r="C21" s="507"/>
      <c r="D21" s="757"/>
      <c r="E21" s="862"/>
      <c r="F21" s="507"/>
      <c r="G21" s="507"/>
      <c r="H21" s="507"/>
      <c r="I21" s="507"/>
      <c r="J21" s="909"/>
      <c r="K21" s="916"/>
      <c r="L21" s="917"/>
      <c r="M21" s="918"/>
      <c r="N21" s="915"/>
      <c r="O21" s="854"/>
      <c r="P21" s="854"/>
      <c r="Q21" s="854"/>
    </row>
    <row r="22" spans="1:17" s="853" customFormat="1" ht="15.75" customHeight="1">
      <c r="A22" s="507"/>
      <c r="B22" s="507"/>
      <c r="C22" s="863">
        <v>7500</v>
      </c>
      <c r="D22" s="864" t="s">
        <v>892</v>
      </c>
      <c r="E22" s="865">
        <f>+'YE Projections'!I122</f>
        <v>16016.072306565635</v>
      </c>
      <c r="F22" s="507"/>
      <c r="G22" s="507"/>
      <c r="H22" s="507"/>
      <c r="I22" s="507"/>
      <c r="J22" s="909"/>
      <c r="K22" s="916"/>
      <c r="L22" s="917"/>
      <c r="M22" s="918"/>
      <c r="N22" s="915"/>
      <c r="O22" s="854"/>
      <c r="P22" s="854"/>
      <c r="Q22" s="854"/>
    </row>
    <row r="23" spans="1:17" s="853" customFormat="1" ht="15.75" customHeight="1">
      <c r="A23" s="507"/>
      <c r="B23" s="507"/>
      <c r="C23" s="866"/>
      <c r="D23" s="789"/>
      <c r="E23" s="867"/>
      <c r="F23" s="866"/>
      <c r="G23" s="866"/>
      <c r="H23" s="507"/>
      <c r="I23" s="507"/>
      <c r="J23" s="909"/>
      <c r="K23" s="915"/>
      <c r="L23" s="919"/>
      <c r="M23" s="915"/>
      <c r="N23" s="915"/>
      <c r="O23" s="854"/>
      <c r="P23" s="854"/>
      <c r="Q23" s="854"/>
    </row>
    <row r="24" spans="1:17" s="853" customFormat="1" ht="15.75" customHeight="1">
      <c r="A24" s="761"/>
      <c r="B24" s="761"/>
      <c r="C24" s="868"/>
      <c r="D24" s="789" t="s">
        <v>863</v>
      </c>
      <c r="E24" s="876"/>
      <c r="F24" s="868"/>
      <c r="G24" s="868"/>
      <c r="H24" s="759"/>
      <c r="I24" s="863"/>
      <c r="J24" s="920"/>
      <c r="K24" s="921"/>
      <c r="L24" s="921"/>
      <c r="M24" s="921"/>
      <c r="N24" s="921"/>
      <c r="O24" s="870"/>
      <c r="P24" s="871"/>
      <c r="Q24" s="872"/>
    </row>
    <row r="25" spans="1:17" s="853" customFormat="1" ht="15.75" customHeight="1">
      <c r="A25" s="761"/>
      <c r="B25" s="761"/>
      <c r="C25" s="868">
        <f>+C16-C22</f>
        <v>7764</v>
      </c>
      <c r="D25" s="864" t="s">
        <v>892</v>
      </c>
      <c r="E25" s="877">
        <f>+E16-E22</f>
        <v>0</v>
      </c>
      <c r="F25" s="868">
        <f>+E25</f>
        <v>0</v>
      </c>
      <c r="G25" s="868">
        <f>+F25</f>
        <v>0</v>
      </c>
      <c r="H25" s="873"/>
      <c r="I25" s="922"/>
      <c r="J25" s="920"/>
      <c r="K25" s="921"/>
      <c r="L25" s="923"/>
      <c r="M25" s="921"/>
      <c r="N25" s="921"/>
      <c r="O25" s="870"/>
      <c r="P25" s="871"/>
      <c r="Q25" s="854"/>
    </row>
    <row r="26" spans="1:17" s="853" customFormat="1" ht="15.75" customHeight="1" thickBot="1">
      <c r="A26" s="761"/>
      <c r="B26" s="761"/>
      <c r="C26" s="868"/>
      <c r="F26" s="868"/>
      <c r="G26" s="868"/>
      <c r="H26" s="873"/>
      <c r="I26" s="922"/>
      <c r="J26" s="909"/>
      <c r="K26" s="921"/>
      <c r="L26" s="921"/>
      <c r="M26" s="921"/>
      <c r="N26" s="921"/>
      <c r="O26" s="854"/>
      <c r="P26" s="854"/>
      <c r="Q26" s="854"/>
    </row>
    <row r="27" spans="1:17" s="853" customFormat="1" ht="24.75" customHeight="1" thickBot="1">
      <c r="A27" s="773">
        <v>0</v>
      </c>
      <c r="B27" s="773">
        <f>SUM(B22:B26)</f>
        <v>0</v>
      </c>
      <c r="C27" s="773">
        <f>+C22+C25</f>
        <v>15264</v>
      </c>
      <c r="D27" s="774" t="s">
        <v>868</v>
      </c>
      <c r="E27" s="773">
        <f>SUM(E21:E25)</f>
        <v>16016.072306565635</v>
      </c>
      <c r="F27" s="773">
        <f>SUM(F21:F26)</f>
        <v>0</v>
      </c>
      <c r="G27" s="773">
        <f>SUM(G21:G26)</f>
        <v>0</v>
      </c>
      <c r="H27" s="507"/>
      <c r="I27" s="507"/>
      <c r="J27" s="909"/>
      <c r="K27" s="924"/>
      <c r="L27" s="924"/>
      <c r="M27" s="924"/>
      <c r="N27" s="924"/>
      <c r="O27" s="854"/>
      <c r="P27" s="854"/>
      <c r="Q27" s="854"/>
    </row>
    <row r="28" spans="1:17" s="853" customFormat="1" ht="15" customHeight="1">
      <c r="A28" s="759"/>
      <c r="B28" s="759"/>
      <c r="C28" s="759"/>
      <c r="D28" s="728"/>
      <c r="E28" s="761"/>
      <c r="F28" s="719"/>
      <c r="G28" s="759"/>
      <c r="H28" s="719"/>
      <c r="I28" s="493"/>
      <c r="J28" s="909"/>
      <c r="K28" s="878"/>
      <c r="L28" s="878"/>
      <c r="M28" s="878"/>
      <c r="N28" s="878"/>
      <c r="O28" s="854"/>
      <c r="P28" s="854"/>
      <c r="Q28" s="854"/>
    </row>
    <row r="29" spans="1:17" s="881" customFormat="1" ht="14.25">
      <c r="A29" s="879"/>
      <c r="B29" s="879"/>
      <c r="C29" s="804"/>
      <c r="D29" s="789" t="s">
        <v>847</v>
      </c>
      <c r="E29" s="804"/>
      <c r="F29" s="824"/>
      <c r="G29" s="804"/>
      <c r="H29" s="822"/>
      <c r="I29" s="801"/>
      <c r="J29" s="925"/>
      <c r="K29" s="878"/>
      <c r="L29" s="878"/>
      <c r="M29" s="878"/>
      <c r="N29" s="878"/>
      <c r="O29" s="878"/>
      <c r="P29" s="878"/>
      <c r="Q29" s="878"/>
    </row>
    <row r="30" spans="1:17" s="881" customFormat="1" ht="14.25">
      <c r="A30" s="436"/>
      <c r="B30" s="436"/>
      <c r="C30" s="804"/>
      <c r="D30" s="810"/>
      <c r="E30" s="812"/>
      <c r="F30" s="824"/>
      <c r="G30" s="804"/>
      <c r="H30" s="822"/>
      <c r="I30" s="801"/>
      <c r="J30" s="925"/>
      <c r="K30" s="878"/>
      <c r="L30" s="878"/>
      <c r="M30" s="878"/>
      <c r="N30" s="878"/>
      <c r="O30" s="878"/>
      <c r="P30" s="878"/>
      <c r="Q30" s="878"/>
    </row>
    <row r="31" spans="1:17" s="881" customFormat="1">
      <c r="A31" s="812">
        <v>0</v>
      </c>
      <c r="B31" s="812">
        <f>B16</f>
        <v>0</v>
      </c>
      <c r="C31" s="812">
        <f>+C16</f>
        <v>15264</v>
      </c>
      <c r="D31" s="813" t="s">
        <v>76</v>
      </c>
      <c r="E31" s="812">
        <f>E16</f>
        <v>16016.072306565624</v>
      </c>
      <c r="F31" s="812">
        <f>F16</f>
        <v>0</v>
      </c>
      <c r="G31" s="812">
        <f>G16</f>
        <v>0</v>
      </c>
      <c r="H31" s="814"/>
      <c r="I31" s="809"/>
      <c r="J31" s="925"/>
      <c r="K31" s="495"/>
      <c r="L31" s="495"/>
      <c r="M31" s="495"/>
      <c r="N31" s="495"/>
      <c r="O31" s="878"/>
      <c r="P31" s="878"/>
      <c r="Q31" s="878"/>
    </row>
    <row r="32" spans="1:17" s="881" customFormat="1">
      <c r="A32" s="812"/>
      <c r="B32" s="812"/>
      <c r="C32" s="812"/>
      <c r="D32" s="813"/>
      <c r="E32" s="812"/>
      <c r="F32" s="814"/>
      <c r="G32" s="812"/>
      <c r="H32" s="814"/>
      <c r="I32" s="809"/>
      <c r="J32" s="925"/>
      <c r="K32" s="495"/>
      <c r="L32" s="495"/>
      <c r="M32" s="495"/>
      <c r="N32" s="495"/>
      <c r="O32" s="878"/>
      <c r="P32" s="878"/>
      <c r="Q32" s="878"/>
    </row>
    <row r="33" spans="1:17" s="881" customFormat="1">
      <c r="A33" s="812">
        <v>0</v>
      </c>
      <c r="B33" s="812">
        <f>SUM(B21:B25)</f>
        <v>0</v>
      </c>
      <c r="C33" s="812">
        <f>+C22</f>
        <v>7500</v>
      </c>
      <c r="D33" s="813" t="s">
        <v>848</v>
      </c>
      <c r="E33" s="812">
        <f>+E22</f>
        <v>16016.072306565635</v>
      </c>
      <c r="F33" s="812">
        <f>+F22</f>
        <v>0</v>
      </c>
      <c r="G33" s="812">
        <f>+G22</f>
        <v>0</v>
      </c>
      <c r="H33" s="814"/>
      <c r="I33" s="809"/>
      <c r="J33" s="925"/>
      <c r="K33" s="495"/>
      <c r="L33" s="495"/>
      <c r="M33" s="495"/>
      <c r="N33" s="495"/>
      <c r="O33" s="878"/>
      <c r="P33" s="878"/>
      <c r="Q33" s="878"/>
    </row>
    <row r="34" spans="1:17">
      <c r="A34" s="812">
        <v>0</v>
      </c>
      <c r="B34" s="812">
        <f>+B31-B33</f>
        <v>0</v>
      </c>
      <c r="C34" s="812">
        <f>+C31-C33</f>
        <v>7764</v>
      </c>
      <c r="D34" s="742" t="s">
        <v>618</v>
      </c>
      <c r="E34" s="812">
        <f t="shared" ref="E34:F34" si="2">+E31-E33</f>
        <v>0</v>
      </c>
      <c r="F34" s="812">
        <f t="shared" si="2"/>
        <v>0</v>
      </c>
      <c r="G34" s="812">
        <f>+G25</f>
        <v>0</v>
      </c>
      <c r="H34" s="814"/>
      <c r="I34" s="809"/>
      <c r="J34" s="925"/>
    </row>
    <row r="35" spans="1:17" s="886" customFormat="1" ht="16.5" thickBot="1">
      <c r="A35" s="817">
        <v>0</v>
      </c>
      <c r="B35" s="817">
        <f t="shared" ref="B35:G35" si="3">SUM(B33:B34)</f>
        <v>0</v>
      </c>
      <c r="C35" s="817">
        <f t="shared" si="3"/>
        <v>15264</v>
      </c>
      <c r="D35" s="818" t="s">
        <v>893</v>
      </c>
      <c r="E35" s="817">
        <f t="shared" si="3"/>
        <v>16016.072306565635</v>
      </c>
      <c r="F35" s="817">
        <f t="shared" si="3"/>
        <v>0</v>
      </c>
      <c r="G35" s="817">
        <f t="shared" si="3"/>
        <v>0</v>
      </c>
      <c r="H35" s="882"/>
      <c r="I35" s="882"/>
      <c r="J35" s="926"/>
      <c r="K35" s="885"/>
      <c r="L35" s="885"/>
      <c r="M35" s="885"/>
      <c r="N35" s="885"/>
      <c r="O35" s="885"/>
      <c r="P35" s="885"/>
      <c r="Q35" s="885"/>
    </row>
    <row r="36" spans="1:17" ht="15.75" thickTop="1">
      <c r="A36" s="824"/>
      <c r="B36" s="804"/>
      <c r="C36" s="804"/>
      <c r="D36" s="810"/>
      <c r="E36" s="812"/>
      <c r="F36" s="824"/>
      <c r="G36" s="804"/>
      <c r="H36" s="822"/>
      <c r="I36" s="801"/>
      <c r="J36" s="925"/>
    </row>
    <row r="37" spans="1:17">
      <c r="A37" s="887"/>
      <c r="B37" s="888"/>
      <c r="C37" s="889"/>
      <c r="D37" s="997" t="s">
        <v>851</v>
      </c>
      <c r="E37" s="998">
        <f>+E31-E35</f>
        <v>0</v>
      </c>
      <c r="F37" s="998">
        <f t="shared" ref="F37:G37" si="4">+F31-F35</f>
        <v>0</v>
      </c>
      <c r="G37" s="998">
        <f t="shared" si="4"/>
        <v>0</v>
      </c>
      <c r="H37" s="807"/>
      <c r="I37" s="436"/>
      <c r="J37" s="925"/>
      <c r="P37" s="100"/>
      <c r="Q37" s="100"/>
    </row>
    <row r="38" spans="1:17">
      <c r="A38" s="887"/>
      <c r="B38" s="2" t="s">
        <v>965</v>
      </c>
      <c r="C38" s="889"/>
      <c r="E38" s="436"/>
      <c r="F38" s="436"/>
      <c r="G38" s="436"/>
      <c r="H38" s="807"/>
      <c r="I38" s="436"/>
      <c r="J38" s="925"/>
      <c r="P38" s="100"/>
      <c r="Q38" s="100"/>
    </row>
    <row r="39" spans="1:17">
      <c r="A39" s="887"/>
      <c r="B39" s="891"/>
      <c r="C39" s="889"/>
      <c r="D39" s="890"/>
      <c r="E39" s="812"/>
      <c r="F39" s="824"/>
      <c r="G39" s="807"/>
      <c r="H39" s="807"/>
      <c r="I39" s="436"/>
      <c r="J39" s="925"/>
      <c r="P39" s="100"/>
      <c r="Q39" s="100"/>
    </row>
    <row r="40" spans="1:17">
      <c r="A40" s="887"/>
      <c r="B40" s="891"/>
      <c r="C40" s="889"/>
      <c r="D40" s="890"/>
      <c r="E40" s="812"/>
      <c r="F40" s="824"/>
      <c r="G40" s="807"/>
      <c r="H40" s="807"/>
      <c r="I40" s="436"/>
      <c r="J40" s="925"/>
      <c r="P40" s="100"/>
      <c r="Q40" s="100"/>
    </row>
    <row r="41" spans="1:17">
      <c r="A41" s="887"/>
      <c r="B41" s="891"/>
      <c r="C41" s="889"/>
      <c r="D41" s="890"/>
      <c r="E41" s="812"/>
      <c r="F41" s="824"/>
      <c r="G41" s="807"/>
      <c r="H41" s="807"/>
      <c r="I41" s="807"/>
      <c r="J41" s="880"/>
      <c r="K41" s="100"/>
      <c r="L41" s="100"/>
      <c r="M41" s="100"/>
      <c r="N41" s="100"/>
      <c r="O41" s="100"/>
      <c r="P41" s="100"/>
      <c r="Q41" s="100"/>
    </row>
    <row r="45" spans="1:17">
      <c r="A45" s="2" t="s">
        <v>952</v>
      </c>
    </row>
    <row r="46" spans="1:17">
      <c r="A46" s="2" t="s">
        <v>953</v>
      </c>
    </row>
    <row r="47" spans="1:17">
      <c r="A47" s="2" t="s">
        <v>954</v>
      </c>
    </row>
    <row r="48" spans="1:17">
      <c r="A48" s="2" t="s">
        <v>955</v>
      </c>
    </row>
    <row r="49" spans="1:1" s="100" customFormat="1">
      <c r="A49" s="2" t="s">
        <v>956</v>
      </c>
    </row>
    <row r="50" spans="1:1" s="100" customFormat="1">
      <c r="A50" s="2" t="s">
        <v>957</v>
      </c>
    </row>
    <row r="51" spans="1:1" s="100" customFormat="1"/>
    <row r="52" spans="1:1" s="100" customFormat="1"/>
    <row r="53" spans="1:1" s="100" customFormat="1"/>
    <row r="54" spans="1:1" s="100" customFormat="1"/>
    <row r="55" spans="1:1" s="100" customFormat="1"/>
    <row r="56" spans="1:1" s="100" customFormat="1"/>
    <row r="57" spans="1:1" s="100" customFormat="1"/>
    <row r="58" spans="1:1" s="100" customFormat="1"/>
    <row r="59" spans="1:1" s="100" customFormat="1"/>
    <row r="60" spans="1:1" s="100" customFormat="1"/>
    <row r="61" spans="1:1" s="100" customFormat="1"/>
    <row r="62" spans="1:1" s="100" customFormat="1"/>
    <row r="63" spans="1:1" s="100" customFormat="1"/>
    <row r="64" spans="1:1"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row r="126" s="100" customFormat="1"/>
    <row r="127" s="100" customFormat="1"/>
    <row r="128" s="100" customFormat="1"/>
    <row r="129" s="100" customFormat="1"/>
    <row r="130" s="100" customFormat="1"/>
    <row r="131" s="100" customFormat="1"/>
    <row r="132" s="100" customFormat="1"/>
    <row r="133" s="100" customFormat="1"/>
    <row r="134" s="100" customFormat="1"/>
    <row r="135" s="100" customFormat="1"/>
    <row r="136" s="100" customFormat="1"/>
    <row r="137" s="100" customFormat="1"/>
    <row r="138" s="100" customFormat="1"/>
    <row r="139" s="100" customFormat="1"/>
    <row r="140" s="100" customFormat="1"/>
    <row r="141" s="100" customFormat="1"/>
    <row r="142" s="100" customFormat="1"/>
    <row r="143" s="100" customFormat="1"/>
    <row r="144" s="100" customFormat="1"/>
    <row r="145" s="100" customFormat="1"/>
    <row r="146" s="100" customFormat="1"/>
    <row r="147" s="100" customFormat="1"/>
    <row r="148" s="100" customFormat="1"/>
  </sheetData>
  <mergeCells count="2">
    <mergeCell ref="C1:E1"/>
    <mergeCell ref="C2:E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P126"/>
  <sheetViews>
    <sheetView workbookViewId="0">
      <pane xSplit="2" ySplit="3" topLeftCell="C73" activePane="bottomRight" state="frozenSplit"/>
      <selection activeCell="Q20" sqref="P20:Q20"/>
      <selection pane="topRight" activeCell="Q20" sqref="P20:Q20"/>
      <selection pane="bottomLeft" activeCell="Q20" sqref="P20:Q20"/>
      <selection pane="bottomRight" activeCell="R2" sqref="R2"/>
    </sheetView>
  </sheetViews>
  <sheetFormatPr defaultColWidth="8.88671875" defaultRowHeight="15"/>
  <cols>
    <col min="1" max="1" width="7" style="342" customWidth="1"/>
    <col min="2" max="2" width="25.44140625" style="343" customWidth="1"/>
    <col min="3" max="3" width="15.109375" style="5" customWidth="1"/>
    <col min="4" max="4" width="12.109375" style="5" customWidth="1"/>
    <col min="5" max="5" width="0.5546875" style="5" customWidth="1"/>
    <col min="6" max="6" width="16.33203125" style="344" customWidth="1"/>
    <col min="7" max="7" width="13.6640625" style="5" customWidth="1"/>
    <col min="8" max="8" width="14.5546875" style="5" customWidth="1"/>
    <col min="9" max="9" width="13.77734375" style="339" bestFit="1" customWidth="1"/>
    <col min="10" max="10" width="11.77734375" style="345" customWidth="1"/>
    <col min="11" max="11" width="14.21875" style="2" customWidth="1"/>
    <col min="12" max="12" width="13.88671875" customWidth="1"/>
    <col min="13" max="13" width="10" style="2" bestFit="1" customWidth="1"/>
    <col min="14" max="16384" width="8.88671875" style="2"/>
  </cols>
  <sheetData>
    <row r="1" spans="1:12" ht="15.75" thickBot="1">
      <c r="C1" s="663">
        <v>45420</v>
      </c>
      <c r="K1" s="17"/>
    </row>
    <row r="2" spans="1:12" ht="15.75" thickBot="1">
      <c r="A2" s="346">
        <f>+A3/12</f>
        <v>0.16666666666666666</v>
      </c>
      <c r="B2" s="379" t="s">
        <v>143</v>
      </c>
      <c r="C2" s="1065" t="s">
        <v>0</v>
      </c>
      <c r="D2" s="1066"/>
      <c r="E2" s="1066"/>
      <c r="F2" s="1067"/>
      <c r="G2" s="1067"/>
      <c r="H2" s="1067"/>
      <c r="I2" s="1067"/>
      <c r="J2" s="1068"/>
      <c r="K2" s="17"/>
    </row>
    <row r="3" spans="1:12" s="3" customFormat="1" ht="26.25" thickBot="1">
      <c r="A3" s="640" t="s">
        <v>1032</v>
      </c>
      <c r="B3" s="599" t="s">
        <v>142</v>
      </c>
      <c r="C3" s="600" t="s">
        <v>610</v>
      </c>
      <c r="D3" s="348" t="s">
        <v>629</v>
      </c>
      <c r="E3" s="348"/>
      <c r="F3" s="349" t="s">
        <v>583</v>
      </c>
      <c r="G3" s="309" t="s">
        <v>581</v>
      </c>
      <c r="H3" s="350" t="s">
        <v>152</v>
      </c>
      <c r="I3" s="441" t="s">
        <v>582</v>
      </c>
      <c r="J3" s="351" t="s">
        <v>151</v>
      </c>
      <c r="K3" s="937" t="s">
        <v>915</v>
      </c>
    </row>
    <row r="4" spans="1:12" ht="12.75">
      <c r="B4" s="353" t="s">
        <v>76</v>
      </c>
      <c r="C4" s="352"/>
      <c r="D4" s="40"/>
      <c r="E4" s="40"/>
      <c r="F4" s="352"/>
      <c r="G4" s="40"/>
      <c r="H4" s="40"/>
      <c r="L4" s="2"/>
    </row>
    <row r="5" spans="1:12" ht="12.75">
      <c r="A5" s="353" t="s">
        <v>2</v>
      </c>
      <c r="B5" s="353"/>
      <c r="C5" s="352">
        <v>993915</v>
      </c>
      <c r="D5" s="40">
        <f t="shared" ref="D5:D15" si="0">+C5</f>
        <v>993915</v>
      </c>
      <c r="E5" s="40">
        <f t="shared" ref="E5:E28" si="1">+D5-C5</f>
        <v>0</v>
      </c>
      <c r="F5" s="41">
        <f>+C5</f>
        <v>993915</v>
      </c>
      <c r="G5" s="40">
        <v>1031894</v>
      </c>
      <c r="H5" s="40">
        <f t="shared" ref="H5:H17" si="2">+F5-G5</f>
        <v>-37979</v>
      </c>
      <c r="I5" s="983">
        <f>ROUND(+F90,0)</f>
        <v>850984</v>
      </c>
      <c r="J5" s="291"/>
      <c r="L5" s="2"/>
    </row>
    <row r="6" spans="1:12" ht="12.75">
      <c r="A6" s="353" t="s">
        <v>4</v>
      </c>
      <c r="B6" s="353"/>
      <c r="C6" s="352">
        <v>806197.3</v>
      </c>
      <c r="D6" s="40">
        <f t="shared" si="0"/>
        <v>806197.3</v>
      </c>
      <c r="E6" s="40">
        <f t="shared" si="1"/>
        <v>0</v>
      </c>
      <c r="F6" s="352">
        <f>+Revenue!C3</f>
        <v>806197.3</v>
      </c>
      <c r="G6" s="40">
        <v>800000</v>
      </c>
      <c r="H6" s="40">
        <f t="shared" si="2"/>
        <v>6197.3000000000466</v>
      </c>
      <c r="I6" s="983">
        <f>+Revenue!E3</f>
        <v>860000</v>
      </c>
      <c r="J6" s="1037">
        <f>+I6-G6</f>
        <v>60000</v>
      </c>
      <c r="K6" s="938">
        <f>SUM(I6-G6)/G6</f>
        <v>7.4999999999999997E-2</v>
      </c>
      <c r="L6" s="2"/>
    </row>
    <row r="7" spans="1:12" ht="12.75">
      <c r="A7" s="353" t="s">
        <v>5</v>
      </c>
      <c r="B7" s="353"/>
      <c r="C7" s="352">
        <v>7457.37</v>
      </c>
      <c r="D7" s="40">
        <f t="shared" si="0"/>
        <v>7457.37</v>
      </c>
      <c r="E7" s="40">
        <f t="shared" si="1"/>
        <v>0</v>
      </c>
      <c r="F7" s="352">
        <f>+C7</f>
        <v>7457.37</v>
      </c>
      <c r="G7" s="40">
        <v>12000</v>
      </c>
      <c r="H7" s="40">
        <f t="shared" si="2"/>
        <v>-4542.63</v>
      </c>
      <c r="I7" s="983">
        <f>+Revenue!E4</f>
        <v>12000</v>
      </c>
      <c r="J7" s="1037">
        <f t="shared" ref="J7:J17" si="3">+I7-G7</f>
        <v>0</v>
      </c>
      <c r="K7" s="938">
        <f t="shared" ref="K7:K70" si="4">SUM(I7-G7)/G7</f>
        <v>0</v>
      </c>
      <c r="L7" s="2"/>
    </row>
    <row r="8" spans="1:12" ht="12.75">
      <c r="A8" s="353" t="s">
        <v>6</v>
      </c>
      <c r="B8" s="353"/>
      <c r="C8" s="352">
        <v>34285.769999999997</v>
      </c>
      <c r="D8" s="40">
        <f t="shared" si="0"/>
        <v>34285.769999999997</v>
      </c>
      <c r="E8" s="40">
        <f t="shared" si="1"/>
        <v>0</v>
      </c>
      <c r="F8" s="352">
        <f>+Interest!D76</f>
        <v>40860.185879574012</v>
      </c>
      <c r="G8" s="40">
        <v>24544</v>
      </c>
      <c r="H8" s="40">
        <f t="shared" si="2"/>
        <v>16316.185879574012</v>
      </c>
      <c r="I8" s="1020">
        <f>+Interest!D446</f>
        <v>24963</v>
      </c>
      <c r="J8" s="1037">
        <f>+I8-G8</f>
        <v>419</v>
      </c>
      <c r="K8" s="938">
        <f t="shared" si="4"/>
        <v>1.7071382007822686E-2</v>
      </c>
      <c r="L8" s="2"/>
    </row>
    <row r="9" spans="1:12" ht="12.75">
      <c r="A9" s="353" t="s">
        <v>7</v>
      </c>
      <c r="B9" s="353"/>
      <c r="C9" s="352">
        <v>798.06</v>
      </c>
      <c r="D9" s="40">
        <f t="shared" si="0"/>
        <v>798.06</v>
      </c>
      <c r="E9" s="40">
        <f t="shared" si="1"/>
        <v>0</v>
      </c>
      <c r="F9" s="352">
        <f>+C9</f>
        <v>798.06</v>
      </c>
      <c r="G9" s="40">
        <v>950</v>
      </c>
      <c r="H9" s="40">
        <f t="shared" si="2"/>
        <v>-151.94000000000005</v>
      </c>
      <c r="I9" s="983">
        <f>+Revenue!E6</f>
        <v>750</v>
      </c>
      <c r="J9" s="1037">
        <f t="shared" si="3"/>
        <v>-200</v>
      </c>
      <c r="K9" s="938">
        <f t="shared" si="4"/>
        <v>-0.21052631578947367</v>
      </c>
      <c r="L9" s="2"/>
    </row>
    <row r="10" spans="1:12" ht="12.75">
      <c r="A10" s="353" t="s">
        <v>8</v>
      </c>
      <c r="B10" s="353"/>
      <c r="C10" s="352">
        <v>0</v>
      </c>
      <c r="D10" s="40">
        <f t="shared" si="0"/>
        <v>0</v>
      </c>
      <c r="E10" s="40">
        <f t="shared" si="1"/>
        <v>0</v>
      </c>
      <c r="F10" s="352">
        <f>+C10</f>
        <v>0</v>
      </c>
      <c r="G10" s="40">
        <v>20</v>
      </c>
      <c r="H10" s="40">
        <f t="shared" si="2"/>
        <v>-20</v>
      </c>
      <c r="I10" s="983"/>
      <c r="J10" s="1037">
        <f t="shared" si="3"/>
        <v>-20</v>
      </c>
      <c r="K10" s="938">
        <f t="shared" si="4"/>
        <v>-1</v>
      </c>
      <c r="L10" s="2"/>
    </row>
    <row r="11" spans="1:12" ht="12.75">
      <c r="A11" s="353" t="s">
        <v>9</v>
      </c>
      <c r="B11" s="353"/>
      <c r="C11" s="598">
        <v>3530</v>
      </c>
      <c r="D11" s="40">
        <f t="shared" si="0"/>
        <v>3530</v>
      </c>
      <c r="E11" s="40">
        <f t="shared" si="1"/>
        <v>0</v>
      </c>
      <c r="F11" s="352">
        <f>+D11</f>
        <v>3530</v>
      </c>
      <c r="G11" s="40">
        <v>1000</v>
      </c>
      <c r="H11" s="40">
        <f t="shared" si="2"/>
        <v>2530</v>
      </c>
      <c r="I11" s="983">
        <f>+Revenue!E8</f>
        <v>2000</v>
      </c>
      <c r="J11" s="1037">
        <f t="shared" si="3"/>
        <v>1000</v>
      </c>
      <c r="K11" s="938">
        <f t="shared" si="4"/>
        <v>1</v>
      </c>
      <c r="L11" s="2"/>
    </row>
    <row r="12" spans="1:12" ht="12.75">
      <c r="A12" s="353" t="s">
        <v>10</v>
      </c>
      <c r="B12" s="353"/>
      <c r="C12" s="352">
        <v>71199.81</v>
      </c>
      <c r="D12" s="40">
        <f t="shared" si="0"/>
        <v>71199.81</v>
      </c>
      <c r="E12" s="40">
        <f t="shared" si="1"/>
        <v>0</v>
      </c>
      <c r="F12" s="352">
        <f>+D12</f>
        <v>71199.81</v>
      </c>
      <c r="G12" s="40">
        <v>0</v>
      </c>
      <c r="H12" s="40">
        <f t="shared" si="2"/>
        <v>71199.81</v>
      </c>
      <c r="I12" s="983">
        <f>+Revenue!E9</f>
        <v>0</v>
      </c>
      <c r="J12" s="1037">
        <f t="shared" si="3"/>
        <v>0</v>
      </c>
      <c r="K12" s="938"/>
      <c r="L12" s="2"/>
    </row>
    <row r="13" spans="1:12" ht="12.75">
      <c r="A13" s="353" t="s">
        <v>11</v>
      </c>
      <c r="B13" s="353"/>
      <c r="C13" s="352">
        <v>655.45</v>
      </c>
      <c r="D13" s="40">
        <f t="shared" si="0"/>
        <v>655.45</v>
      </c>
      <c r="E13" s="40">
        <f t="shared" si="1"/>
        <v>0</v>
      </c>
      <c r="F13" s="352">
        <f>+C13</f>
        <v>655.45</v>
      </c>
      <c r="G13" s="40">
        <v>310</v>
      </c>
      <c r="H13" s="40">
        <f t="shared" si="2"/>
        <v>345.45000000000005</v>
      </c>
      <c r="I13" s="983">
        <f>+Revenue!E10</f>
        <v>600</v>
      </c>
      <c r="J13" s="1037">
        <f t="shared" si="3"/>
        <v>290</v>
      </c>
      <c r="K13" s="938">
        <f t="shared" si="4"/>
        <v>0.93548387096774188</v>
      </c>
      <c r="L13" s="2"/>
    </row>
    <row r="14" spans="1:12" ht="12.75">
      <c r="A14" s="353" t="s">
        <v>12</v>
      </c>
      <c r="B14" s="353"/>
      <c r="C14" s="352">
        <v>2911.17</v>
      </c>
      <c r="D14" s="40">
        <f t="shared" si="0"/>
        <v>2911.17</v>
      </c>
      <c r="E14" s="40">
        <f t="shared" si="1"/>
        <v>0</v>
      </c>
      <c r="F14" s="352">
        <f>+D14</f>
        <v>2911.17</v>
      </c>
      <c r="G14" s="5">
        <v>250</v>
      </c>
      <c r="H14" s="40">
        <f t="shared" si="2"/>
        <v>2661.17</v>
      </c>
      <c r="I14" s="983">
        <f>+Revenue!E11</f>
        <v>1000</v>
      </c>
      <c r="J14" s="1037">
        <f t="shared" si="3"/>
        <v>750</v>
      </c>
      <c r="K14" s="938">
        <f t="shared" si="4"/>
        <v>3</v>
      </c>
      <c r="L14" s="355"/>
    </row>
    <row r="15" spans="1:12" ht="12.75">
      <c r="A15" s="353" t="s">
        <v>13</v>
      </c>
      <c r="B15" s="353"/>
      <c r="C15" s="352">
        <v>1343.01</v>
      </c>
      <c r="D15" s="40">
        <f t="shared" si="0"/>
        <v>1343.01</v>
      </c>
      <c r="E15" s="40">
        <f t="shared" si="1"/>
        <v>0</v>
      </c>
      <c r="F15" s="352">
        <f>+D15</f>
        <v>1343.01</v>
      </c>
      <c r="G15" s="40">
        <v>0</v>
      </c>
      <c r="H15" s="40">
        <f t="shared" si="2"/>
        <v>1343.01</v>
      </c>
      <c r="I15" s="983">
        <f>+Revenue!E12</f>
        <v>0</v>
      </c>
      <c r="J15" s="1037">
        <f t="shared" si="3"/>
        <v>0</v>
      </c>
      <c r="K15" s="938"/>
      <c r="L15" s="355"/>
    </row>
    <row r="16" spans="1:12" ht="12.75">
      <c r="A16" s="353" t="s">
        <v>14</v>
      </c>
      <c r="B16" s="353"/>
      <c r="C16" s="352">
        <v>2355</v>
      </c>
      <c r="D16" s="40">
        <f>+Revenue!C13</f>
        <v>2355</v>
      </c>
      <c r="E16" s="40">
        <f>+D16-C16</f>
        <v>0</v>
      </c>
      <c r="F16" s="352">
        <f>+D16</f>
        <v>2355</v>
      </c>
      <c r="G16" s="40">
        <v>2300</v>
      </c>
      <c r="H16" s="40">
        <f t="shared" si="2"/>
        <v>55</v>
      </c>
      <c r="I16" s="983">
        <f>+Revenue!E13</f>
        <v>2360</v>
      </c>
      <c r="J16" s="1037">
        <f t="shared" si="3"/>
        <v>60</v>
      </c>
      <c r="K16" s="938">
        <f t="shared" si="4"/>
        <v>2.6086956521739129E-2</v>
      </c>
      <c r="L16" s="2"/>
    </row>
    <row r="17" spans="1:14" ht="12.75">
      <c r="A17" s="353" t="s">
        <v>15</v>
      </c>
      <c r="B17" s="353"/>
      <c r="C17" s="352">
        <v>461.22</v>
      </c>
      <c r="D17" s="40">
        <f>+C17</f>
        <v>461.22</v>
      </c>
      <c r="E17" s="40">
        <f>+D17-C17</f>
        <v>0</v>
      </c>
      <c r="F17" s="352">
        <f>+D17</f>
        <v>461.22</v>
      </c>
      <c r="G17" s="40">
        <v>0</v>
      </c>
      <c r="H17" s="40">
        <f t="shared" si="2"/>
        <v>461.22</v>
      </c>
      <c r="I17" s="983">
        <f>+Revenue!E14</f>
        <v>0</v>
      </c>
      <c r="J17" s="1037">
        <f t="shared" si="3"/>
        <v>0</v>
      </c>
      <c r="K17" s="938"/>
      <c r="L17" s="2"/>
      <c r="M17" s="355"/>
    </row>
    <row r="18" spans="1:14" ht="12.75">
      <c r="A18" s="353" t="s">
        <v>533</v>
      </c>
      <c r="B18" s="353"/>
      <c r="C18" s="357"/>
      <c r="D18" s="356"/>
      <c r="E18" s="356"/>
      <c r="F18" s="357"/>
      <c r="G18" s="356"/>
      <c r="H18" s="356"/>
      <c r="I18" s="982"/>
      <c r="J18" s="1038"/>
      <c r="K18" s="938"/>
      <c r="L18" s="2"/>
      <c r="M18" s="355"/>
    </row>
    <row r="19" spans="1:14" ht="12.75">
      <c r="A19" s="353" t="s">
        <v>77</v>
      </c>
      <c r="B19" s="353"/>
      <c r="C19" s="352">
        <f>SUM(C5:C18)</f>
        <v>1925109.1600000001</v>
      </c>
      <c r="D19" s="40">
        <f>SUM(D5:D18)</f>
        <v>1925109.1600000001</v>
      </c>
      <c r="E19" s="40">
        <f t="shared" si="1"/>
        <v>0</v>
      </c>
      <c r="F19" s="352">
        <f>SUM(F5:F18)</f>
        <v>1931683.5758795741</v>
      </c>
      <c r="G19" s="352">
        <f>SUM(G5:G18)</f>
        <v>1873268</v>
      </c>
      <c r="H19" s="352">
        <f>SUM(H5:H18)</f>
        <v>58415.575879574062</v>
      </c>
      <c r="I19" s="1025">
        <f>SUM(I5:I18)</f>
        <v>1754657</v>
      </c>
      <c r="J19" s="1039">
        <f>SUM(I19-G19)/I19</f>
        <v>-6.7597826811735859E-2</v>
      </c>
      <c r="K19" s="938">
        <f t="shared" si="4"/>
        <v>-6.3317688659604493E-2</v>
      </c>
      <c r="L19" s="2"/>
    </row>
    <row r="20" spans="1:14" ht="12.75">
      <c r="B20" s="353" t="s">
        <v>78</v>
      </c>
      <c r="C20" s="352"/>
      <c r="D20" s="40"/>
      <c r="E20" s="40">
        <f t="shared" si="1"/>
        <v>0</v>
      </c>
      <c r="F20" s="352"/>
      <c r="G20" s="40"/>
      <c r="H20" s="40"/>
      <c r="I20" s="981"/>
      <c r="J20" s="1040"/>
      <c r="K20" s="938"/>
      <c r="L20" s="2"/>
    </row>
    <row r="21" spans="1:14" ht="12.75">
      <c r="A21" s="358" t="s">
        <v>430</v>
      </c>
      <c r="B21" s="342"/>
      <c r="C21" s="352"/>
      <c r="D21" s="40"/>
      <c r="E21" s="40">
        <f t="shared" si="1"/>
        <v>0</v>
      </c>
      <c r="F21" s="352"/>
      <c r="G21" s="40"/>
      <c r="H21" s="40"/>
      <c r="I21" s="981"/>
      <c r="J21" s="1040"/>
      <c r="K21" s="938"/>
      <c r="L21" s="2"/>
    </row>
    <row r="22" spans="1:14" ht="12.75">
      <c r="A22" s="353" t="s">
        <v>17</v>
      </c>
      <c r="B22" s="353"/>
      <c r="C22" s="598">
        <v>287852.94</v>
      </c>
      <c r="D22" s="40">
        <f t="shared" ref="D22:D27" si="5">+C22</f>
        <v>287852.94</v>
      </c>
      <c r="E22" s="40">
        <f t="shared" si="1"/>
        <v>0</v>
      </c>
      <c r="F22" s="352">
        <f>+Personnel!E42</f>
        <v>339453</v>
      </c>
      <c r="G22" s="40">
        <v>397094</v>
      </c>
      <c r="H22" s="40">
        <f t="shared" ref="H22:H29" si="6">+F22-G22</f>
        <v>-57641</v>
      </c>
      <c r="I22" s="1020">
        <f>+Personnel!D26+Personnel!D27</f>
        <v>425508</v>
      </c>
      <c r="J22" s="1037">
        <f t="shared" ref="J22:J29" si="7">+I22-G22</f>
        <v>28414</v>
      </c>
      <c r="K22" s="938">
        <f t="shared" si="4"/>
        <v>7.1554845955869389E-2</v>
      </c>
      <c r="L22" s="2"/>
    </row>
    <row r="23" spans="1:14" ht="12.75">
      <c r="A23" s="353" t="s">
        <v>982</v>
      </c>
      <c r="B23" s="353"/>
      <c r="C23" s="598">
        <v>22125.18</v>
      </c>
      <c r="D23" s="40">
        <f t="shared" si="5"/>
        <v>22125.18</v>
      </c>
      <c r="E23" s="40">
        <f t="shared" si="1"/>
        <v>0</v>
      </c>
      <c r="F23" s="352">
        <f>+Personnel!E43</f>
        <v>26526</v>
      </c>
      <c r="G23" s="40">
        <v>28000</v>
      </c>
      <c r="H23" s="40">
        <f t="shared" si="6"/>
        <v>-1474</v>
      </c>
      <c r="I23" s="1020">
        <f>+Personnel!D28</f>
        <v>30212</v>
      </c>
      <c r="J23" s="1037">
        <f t="shared" si="7"/>
        <v>2212</v>
      </c>
      <c r="K23" s="938">
        <f t="shared" si="4"/>
        <v>7.9000000000000001E-2</v>
      </c>
      <c r="L23" s="2"/>
    </row>
    <row r="24" spans="1:14" ht="12.75">
      <c r="A24" s="353" t="s">
        <v>415</v>
      </c>
      <c r="B24" s="353"/>
      <c r="C24" s="598">
        <v>100632.59</v>
      </c>
      <c r="D24" s="40">
        <f t="shared" si="5"/>
        <v>100632.59</v>
      </c>
      <c r="E24" s="40">
        <f t="shared" si="1"/>
        <v>0</v>
      </c>
      <c r="F24" s="352">
        <f>+Personnel!E44</f>
        <v>120253</v>
      </c>
      <c r="G24" s="40">
        <v>110750</v>
      </c>
      <c r="H24" s="40">
        <f t="shared" si="6"/>
        <v>9503</v>
      </c>
      <c r="I24" s="1020">
        <f>+Personnel!D30+Personnel!D29</f>
        <v>130203</v>
      </c>
      <c r="J24" s="1037">
        <f t="shared" si="7"/>
        <v>19453</v>
      </c>
      <c r="K24" s="938">
        <f t="shared" si="4"/>
        <v>0.17564785553047405</v>
      </c>
      <c r="L24" s="2"/>
    </row>
    <row r="25" spans="1:14" ht="12.75">
      <c r="A25" s="353" t="s">
        <v>378</v>
      </c>
      <c r="B25" s="353"/>
      <c r="C25" s="598">
        <v>52036.87</v>
      </c>
      <c r="D25" s="40">
        <f t="shared" si="5"/>
        <v>52036.87</v>
      </c>
      <c r="E25" s="40">
        <f t="shared" si="1"/>
        <v>0</v>
      </c>
      <c r="F25" s="352">
        <f>+Personnel!E45</f>
        <v>62437</v>
      </c>
      <c r="G25" s="40">
        <v>47700</v>
      </c>
      <c r="H25" s="40">
        <f t="shared" si="6"/>
        <v>14737</v>
      </c>
      <c r="I25" s="1020">
        <f>+Personnel!D31</f>
        <v>85984</v>
      </c>
      <c r="J25" s="1037">
        <f t="shared" si="7"/>
        <v>38284</v>
      </c>
      <c r="K25" s="938">
        <f t="shared" si="4"/>
        <v>0.80259958071278825</v>
      </c>
      <c r="L25" s="2"/>
    </row>
    <row r="26" spans="1:14" ht="12.75">
      <c r="A26" s="353" t="s">
        <v>466</v>
      </c>
      <c r="B26" s="353"/>
      <c r="C26" s="598">
        <f>2890.97+225</f>
        <v>3115.97</v>
      </c>
      <c r="D26" s="40">
        <f t="shared" si="5"/>
        <v>3115.97</v>
      </c>
      <c r="E26" s="40">
        <f t="shared" si="1"/>
        <v>0</v>
      </c>
      <c r="F26" s="352">
        <f>+D26</f>
        <v>3115.97</v>
      </c>
      <c r="G26" s="40">
        <v>1665</v>
      </c>
      <c r="H26" s="40">
        <f t="shared" si="6"/>
        <v>1450.9699999999998</v>
      </c>
      <c r="I26" s="1020">
        <f>+Personnel!D32</f>
        <v>2797</v>
      </c>
      <c r="J26" s="1037">
        <f t="shared" si="7"/>
        <v>1132</v>
      </c>
      <c r="K26" s="938">
        <f t="shared" si="4"/>
        <v>0.67987987987987986</v>
      </c>
      <c r="L26" s="2"/>
    </row>
    <row r="27" spans="1:14" ht="12.75">
      <c r="A27" s="353" t="s">
        <v>18</v>
      </c>
      <c r="B27" s="353"/>
      <c r="C27" s="598">
        <v>0</v>
      </c>
      <c r="D27" s="40">
        <f t="shared" si="5"/>
        <v>0</v>
      </c>
      <c r="E27" s="40">
        <f t="shared" si="1"/>
        <v>0</v>
      </c>
      <c r="F27" s="352">
        <f>+D27</f>
        <v>0</v>
      </c>
      <c r="G27" s="40">
        <v>1000</v>
      </c>
      <c r="H27" s="40">
        <f t="shared" si="6"/>
        <v>-1000</v>
      </c>
      <c r="I27" s="1020">
        <f>+Personnel!D33</f>
        <v>1000</v>
      </c>
      <c r="J27" s="1037">
        <f t="shared" si="7"/>
        <v>0</v>
      </c>
      <c r="K27" s="938">
        <f t="shared" si="4"/>
        <v>0</v>
      </c>
      <c r="L27" s="2"/>
    </row>
    <row r="28" spans="1:14" ht="12.75">
      <c r="A28" s="353" t="s">
        <v>19</v>
      </c>
      <c r="B28" s="1"/>
      <c r="C28" s="356">
        <v>0</v>
      </c>
      <c r="D28" s="356">
        <v>0</v>
      </c>
      <c r="E28" s="40">
        <f t="shared" si="1"/>
        <v>0</v>
      </c>
      <c r="F28" s="357">
        <f>+D28</f>
        <v>0</v>
      </c>
      <c r="G28" s="356">
        <v>100</v>
      </c>
      <c r="H28" s="356">
        <f t="shared" si="6"/>
        <v>-100</v>
      </c>
      <c r="I28" s="1021">
        <f>+Personnel!D34</f>
        <v>100</v>
      </c>
      <c r="J28" s="1038">
        <f t="shared" si="7"/>
        <v>0</v>
      </c>
      <c r="K28" s="938">
        <f t="shared" si="4"/>
        <v>0</v>
      </c>
      <c r="L28" s="2"/>
    </row>
    <row r="29" spans="1:14" ht="12.75">
      <c r="B29" s="353" t="s">
        <v>429</v>
      </c>
      <c r="C29" s="40">
        <f>SUM(C22:C28)</f>
        <v>465763.54999999993</v>
      </c>
      <c r="D29" s="40">
        <f>SUM(D22:D28)</f>
        <v>465763.54999999993</v>
      </c>
      <c r="E29" s="40"/>
      <c r="F29" s="352">
        <f>SUM(F22:F28)</f>
        <v>551784.97</v>
      </c>
      <c r="G29" s="352">
        <f>SUM(G22:G28)</f>
        <v>586309</v>
      </c>
      <c r="H29" s="40">
        <f t="shared" si="6"/>
        <v>-34524.030000000028</v>
      </c>
      <c r="I29" s="983">
        <f>SUM(I22:I28)</f>
        <v>675804</v>
      </c>
      <c r="J29" s="1037">
        <f t="shared" si="7"/>
        <v>89495</v>
      </c>
      <c r="K29" s="938">
        <f t="shared" si="4"/>
        <v>0.15264135464405287</v>
      </c>
      <c r="L29" s="2"/>
    </row>
    <row r="30" spans="1:14" ht="12.75">
      <c r="A30" s="358" t="s">
        <v>431</v>
      </c>
      <c r="B30" s="1"/>
      <c r="C30" s="42"/>
      <c r="D30" s="42"/>
      <c r="E30" s="40"/>
      <c r="F30" s="50"/>
      <c r="G30" s="42"/>
      <c r="H30" s="40"/>
      <c r="I30" s="981"/>
      <c r="J30" s="1037"/>
      <c r="K30" s="938"/>
      <c r="L30" s="2"/>
    </row>
    <row r="31" spans="1:14" ht="12.75">
      <c r="A31" s="353" t="s">
        <v>20</v>
      </c>
      <c r="B31" s="1"/>
      <c r="C31" s="42">
        <f>6160+1540+200</f>
        <v>7900</v>
      </c>
      <c r="D31" s="40">
        <f>+'6010-6493'!B5+'6010-6493'!B6</f>
        <v>7900</v>
      </c>
      <c r="E31" s="40">
        <f>+D31-C31</f>
        <v>0</v>
      </c>
      <c r="F31" s="50">
        <f>+'6010-6493'!B7</f>
        <v>7900</v>
      </c>
      <c r="G31" s="42">
        <v>7700</v>
      </c>
      <c r="H31" s="40">
        <f>+F31-G31</f>
        <v>200</v>
      </c>
      <c r="I31" s="983">
        <f>+'6010-6493'!D3</f>
        <v>8000</v>
      </c>
      <c r="J31" s="1037">
        <f>+I31-G31</f>
        <v>300</v>
      </c>
      <c r="K31" s="938">
        <f t="shared" si="4"/>
        <v>3.896103896103896E-2</v>
      </c>
      <c r="L31" s="2"/>
      <c r="M31" s="5"/>
      <c r="N31" s="5"/>
    </row>
    <row r="32" spans="1:14" ht="12.75">
      <c r="A32" s="353" t="s">
        <v>21</v>
      </c>
      <c r="B32" s="1"/>
      <c r="C32" s="42">
        <v>1759.5</v>
      </c>
      <c r="D32" s="40">
        <f>+'6010-6493'!B18</f>
        <v>1759.5</v>
      </c>
      <c r="E32" s="40">
        <f t="shared" ref="E32:E82" si="8">+D32-C32</f>
        <v>0</v>
      </c>
      <c r="F32" s="352">
        <f>+'6010-6493'!B21</f>
        <v>2409.5</v>
      </c>
      <c r="G32" s="42">
        <v>6980</v>
      </c>
      <c r="H32" s="40">
        <f>+F32-G32</f>
        <v>-4570.5</v>
      </c>
      <c r="I32" s="983">
        <f>+'6010-6493'!D12</f>
        <v>6980</v>
      </c>
      <c r="J32" s="1037">
        <f>+I32-G32</f>
        <v>0</v>
      </c>
      <c r="K32" s="938">
        <f t="shared" si="4"/>
        <v>0</v>
      </c>
      <c r="L32" s="2"/>
      <c r="M32" s="5"/>
      <c r="N32" s="5"/>
    </row>
    <row r="33" spans="1:16" ht="12.75">
      <c r="A33" s="1" t="s">
        <v>22</v>
      </c>
      <c r="B33" s="2"/>
      <c r="C33" s="42">
        <v>24158.05</v>
      </c>
      <c r="D33" s="40">
        <f>+'6010-6493'!B33</f>
        <v>24158.050000000003</v>
      </c>
      <c r="E33" s="40">
        <f t="shared" si="8"/>
        <v>0</v>
      </c>
      <c r="F33" s="352">
        <f>+'6010-6493'!B36</f>
        <v>31658.050000000003</v>
      </c>
      <c r="G33" s="42">
        <v>30000</v>
      </c>
      <c r="H33" s="40">
        <f t="shared" ref="H33:H82" si="9">+F33-G33</f>
        <v>1658.0500000000029</v>
      </c>
      <c r="I33" s="983">
        <f>+'6010-6493'!D26</f>
        <v>30000</v>
      </c>
      <c r="J33" s="1037">
        <f t="shared" ref="J33:J60" si="10">+I33-G33</f>
        <v>0</v>
      </c>
      <c r="K33" s="938">
        <f t="shared" si="4"/>
        <v>0</v>
      </c>
      <c r="L33" s="2"/>
    </row>
    <row r="34" spans="1:16" ht="12.75">
      <c r="A34" s="1" t="s">
        <v>23</v>
      </c>
      <c r="B34" s="2"/>
      <c r="C34" s="42">
        <v>12965.54</v>
      </c>
      <c r="D34" s="40">
        <f>+'6010-6493'!B47</f>
        <v>12965.54</v>
      </c>
      <c r="E34" s="40">
        <f t="shared" si="8"/>
        <v>0</v>
      </c>
      <c r="F34" s="352">
        <f>+'6010-6493'!B52</f>
        <v>17530.120000000003</v>
      </c>
      <c r="G34" s="42">
        <v>18000</v>
      </c>
      <c r="H34" s="40">
        <f t="shared" si="9"/>
        <v>-469.87999999999738</v>
      </c>
      <c r="I34" s="983">
        <f>+'6010-6493'!D41</f>
        <v>18000</v>
      </c>
      <c r="J34" s="1037">
        <f t="shared" si="10"/>
        <v>0</v>
      </c>
      <c r="K34" s="938">
        <f t="shared" si="4"/>
        <v>0</v>
      </c>
      <c r="L34" s="2"/>
    </row>
    <row r="35" spans="1:16" ht="12.75">
      <c r="A35" s="1" t="s">
        <v>24</v>
      </c>
      <c r="B35" s="2"/>
      <c r="C35" s="42">
        <v>3458.12</v>
      </c>
      <c r="D35" s="40">
        <f>+'6010-6493'!B62</f>
        <v>3458.12</v>
      </c>
      <c r="E35" s="40">
        <f t="shared" si="8"/>
        <v>0</v>
      </c>
      <c r="F35" s="352">
        <f>+'6010-6493'!B65</f>
        <v>6500</v>
      </c>
      <c r="G35" s="42">
        <v>6500</v>
      </c>
      <c r="H35" s="40">
        <f t="shared" si="9"/>
        <v>0</v>
      </c>
      <c r="I35" s="983">
        <f>+'6010-6493'!D57</f>
        <v>6500</v>
      </c>
      <c r="J35" s="1037">
        <f t="shared" si="10"/>
        <v>0</v>
      </c>
      <c r="K35" s="938">
        <f t="shared" si="4"/>
        <v>0</v>
      </c>
      <c r="L35" s="2"/>
    </row>
    <row r="36" spans="1:16" ht="12.75">
      <c r="A36" s="1" t="s">
        <v>25</v>
      </c>
      <c r="B36" s="2"/>
      <c r="C36" s="42">
        <v>2245.1999999999998</v>
      </c>
      <c r="D36" s="352">
        <f>+'6010-6493'!B76</f>
        <v>2245.1999999999998</v>
      </c>
      <c r="E36" s="40">
        <f t="shared" si="8"/>
        <v>0</v>
      </c>
      <c r="F36" s="352">
        <f>+'6010-6493'!B79</f>
        <v>3000</v>
      </c>
      <c r="G36" s="42">
        <v>3000</v>
      </c>
      <c r="H36" s="40">
        <f t="shared" si="9"/>
        <v>0</v>
      </c>
      <c r="I36" s="983">
        <f>+'6010-6493'!D70</f>
        <v>3000</v>
      </c>
      <c r="J36" s="1037">
        <f t="shared" si="10"/>
        <v>0</v>
      </c>
      <c r="K36" s="938">
        <f t="shared" si="4"/>
        <v>0</v>
      </c>
      <c r="L36" s="2"/>
      <c r="O36" s="5"/>
      <c r="P36" s="5"/>
    </row>
    <row r="37" spans="1:16" ht="12.75">
      <c r="A37" s="1" t="s">
        <v>26</v>
      </c>
      <c r="B37" s="2"/>
      <c r="C37" s="42">
        <v>7130.6</v>
      </c>
      <c r="D37" s="40">
        <f>+'6010-6493'!B89</f>
        <v>7640.6</v>
      </c>
      <c r="E37" s="40">
        <f t="shared" si="8"/>
        <v>510</v>
      </c>
      <c r="F37" s="352">
        <f>+'6010-6493'!B91</f>
        <v>8500</v>
      </c>
      <c r="G37" s="42">
        <v>8500</v>
      </c>
      <c r="H37" s="40">
        <f t="shared" si="9"/>
        <v>0</v>
      </c>
      <c r="I37" s="983">
        <f>+'6010-6493'!D84</f>
        <v>12000</v>
      </c>
      <c r="J37" s="1037">
        <f t="shared" si="10"/>
        <v>3500</v>
      </c>
      <c r="K37" s="938">
        <f t="shared" si="4"/>
        <v>0.41176470588235292</v>
      </c>
      <c r="L37" s="2"/>
      <c r="O37" s="5"/>
      <c r="P37" s="5"/>
    </row>
    <row r="38" spans="1:16" ht="12.75">
      <c r="A38" s="353" t="s">
        <v>27</v>
      </c>
      <c r="B38" s="1"/>
      <c r="C38" s="5">
        <v>756.55</v>
      </c>
      <c r="D38" s="40">
        <f>+'6010-6493'!B99</f>
        <v>756.55</v>
      </c>
      <c r="E38" s="40">
        <f t="shared" si="8"/>
        <v>0</v>
      </c>
      <c r="F38" s="50">
        <f>+'6010-6493'!B101</f>
        <v>756.55</v>
      </c>
      <c r="G38" s="42">
        <v>450</v>
      </c>
      <c r="H38" s="40">
        <f t="shared" si="9"/>
        <v>306.54999999999995</v>
      </c>
      <c r="I38" s="983">
        <f>+'6010-6493'!D97</f>
        <v>800</v>
      </c>
      <c r="J38" s="1037">
        <f t="shared" si="10"/>
        <v>350</v>
      </c>
      <c r="K38" s="938">
        <f t="shared" si="4"/>
        <v>0.77777777777777779</v>
      </c>
      <c r="L38" s="2"/>
      <c r="M38" s="5"/>
      <c r="N38" s="5"/>
    </row>
    <row r="39" spans="1:16" ht="12.75">
      <c r="A39" s="353" t="s">
        <v>28</v>
      </c>
      <c r="B39" s="1"/>
      <c r="C39" s="42">
        <v>1002.34</v>
      </c>
      <c r="D39" s="40">
        <f>+'6010-6493'!B111</f>
        <v>1002.34</v>
      </c>
      <c r="E39" s="40">
        <f t="shared" si="8"/>
        <v>0</v>
      </c>
      <c r="F39" s="40">
        <f>+'6010-6493'!B114</f>
        <v>1983.414</v>
      </c>
      <c r="G39" s="42">
        <v>3300</v>
      </c>
      <c r="H39" s="40">
        <f t="shared" si="9"/>
        <v>-1316.586</v>
      </c>
      <c r="I39" s="983">
        <f>+'6010-6493'!D107</f>
        <v>3300</v>
      </c>
      <c r="J39" s="1037">
        <f t="shared" si="10"/>
        <v>0</v>
      </c>
      <c r="K39" s="938">
        <f t="shared" si="4"/>
        <v>0</v>
      </c>
      <c r="L39" s="2"/>
      <c r="M39" s="5"/>
      <c r="N39" s="5"/>
    </row>
    <row r="40" spans="1:16" ht="12.75">
      <c r="A40" s="353" t="s">
        <v>29</v>
      </c>
      <c r="B40" s="1"/>
      <c r="C40" s="42">
        <v>510.25</v>
      </c>
      <c r="D40" s="40">
        <f>+'6010-6493'!B124</f>
        <v>510.25</v>
      </c>
      <c r="E40" s="40">
        <f t="shared" si="8"/>
        <v>0</v>
      </c>
      <c r="F40" s="40">
        <f>+'6010-6493'!B127</f>
        <v>1780.5579999999998</v>
      </c>
      <c r="G40" s="42">
        <v>3000</v>
      </c>
      <c r="H40" s="40">
        <f t="shared" si="9"/>
        <v>-1219.4420000000002</v>
      </c>
      <c r="I40" s="983">
        <f>+'6010-6493'!D119</f>
        <v>3000</v>
      </c>
      <c r="J40" s="1037">
        <f t="shared" si="10"/>
        <v>0</v>
      </c>
      <c r="K40" s="938">
        <f t="shared" si="4"/>
        <v>0</v>
      </c>
      <c r="L40" s="2"/>
      <c r="M40" s="5"/>
      <c r="N40" s="5"/>
    </row>
    <row r="41" spans="1:16" ht="12.75">
      <c r="A41" s="353" t="s">
        <v>30</v>
      </c>
      <c r="B41" s="1"/>
      <c r="C41" s="42">
        <v>1306</v>
      </c>
      <c r="D41" s="40">
        <f>+'6010-6493'!B145</f>
        <v>1306</v>
      </c>
      <c r="E41" s="40">
        <f t="shared" si="8"/>
        <v>0</v>
      </c>
      <c r="F41" s="40">
        <f>+'6010-6493'!B148</f>
        <v>1988.56</v>
      </c>
      <c r="G41" s="42">
        <v>2130</v>
      </c>
      <c r="H41" s="40">
        <f t="shared" si="9"/>
        <v>-141.44000000000005</v>
      </c>
      <c r="I41" s="983">
        <f>+'6010-6493'!D132</f>
        <v>2660</v>
      </c>
      <c r="J41" s="1037">
        <f t="shared" si="10"/>
        <v>530</v>
      </c>
      <c r="K41" s="938">
        <f t="shared" si="4"/>
        <v>0.24882629107981222</v>
      </c>
      <c r="L41" s="2"/>
      <c r="M41" s="5"/>
      <c r="N41" s="5"/>
    </row>
    <row r="42" spans="1:16" ht="12.75">
      <c r="A42" s="353" t="s">
        <v>31</v>
      </c>
      <c r="B42" s="1"/>
      <c r="C42" s="42">
        <v>0</v>
      </c>
      <c r="D42" s="40">
        <f>+'6010-6493'!B155</f>
        <v>0</v>
      </c>
      <c r="E42" s="40">
        <f t="shared" si="8"/>
        <v>0</v>
      </c>
      <c r="F42" s="40">
        <f>+'6010-6493'!B158</f>
        <v>0</v>
      </c>
      <c r="G42" s="42">
        <v>100</v>
      </c>
      <c r="H42" s="40">
        <f t="shared" si="9"/>
        <v>-100</v>
      </c>
      <c r="I42" s="983">
        <f>+'6010-6493'!D153</f>
        <v>7000</v>
      </c>
      <c r="J42" s="1037">
        <f t="shared" si="10"/>
        <v>6900</v>
      </c>
      <c r="K42" s="938">
        <f t="shared" si="4"/>
        <v>69</v>
      </c>
      <c r="L42" s="2"/>
      <c r="M42" s="5"/>
      <c r="N42" s="5"/>
    </row>
    <row r="43" spans="1:16" ht="12.75">
      <c r="A43" s="353" t="s">
        <v>32</v>
      </c>
      <c r="B43" s="1"/>
      <c r="C43" s="42">
        <f>13372.6+1149.24</f>
        <v>14521.84</v>
      </c>
      <c r="D43" s="40">
        <f>+'6010-6493'!B166</f>
        <v>14521.84</v>
      </c>
      <c r="E43" s="40">
        <f t="shared" si="8"/>
        <v>0</v>
      </c>
      <c r="F43" s="40">
        <f>+'6010-6493'!B169</f>
        <v>18000</v>
      </c>
      <c r="G43" s="42">
        <v>18000</v>
      </c>
      <c r="H43" s="40">
        <f t="shared" si="9"/>
        <v>0</v>
      </c>
      <c r="I43" s="983">
        <f>+'6010-6493'!D163</f>
        <v>19200</v>
      </c>
      <c r="J43" s="1037">
        <f t="shared" si="10"/>
        <v>1200</v>
      </c>
      <c r="K43" s="938">
        <f t="shared" si="4"/>
        <v>6.6666666666666666E-2</v>
      </c>
      <c r="L43" s="2"/>
      <c r="M43" s="5"/>
      <c r="N43" s="5"/>
    </row>
    <row r="44" spans="1:16" ht="12.75">
      <c r="A44" s="353" t="s">
        <v>33</v>
      </c>
      <c r="B44" s="1"/>
      <c r="C44" s="42">
        <v>640.95000000000005</v>
      </c>
      <c r="D44" s="40">
        <f>+'6010-6493'!B177</f>
        <v>640.95000000000005</v>
      </c>
      <c r="E44" s="40">
        <f t="shared" si="8"/>
        <v>0</v>
      </c>
      <c r="F44" s="40">
        <f>+'6010-6493'!B180</f>
        <v>693.80000000000007</v>
      </c>
      <c r="G44" s="42">
        <v>660</v>
      </c>
      <c r="H44" s="40">
        <f t="shared" si="9"/>
        <v>33.800000000000068</v>
      </c>
      <c r="I44" s="983">
        <f>+'6010-6493'!D174</f>
        <v>720</v>
      </c>
      <c r="J44" s="1037">
        <f t="shared" si="10"/>
        <v>60</v>
      </c>
      <c r="K44" s="938">
        <f t="shared" si="4"/>
        <v>9.0909090909090912E-2</v>
      </c>
      <c r="L44" s="2"/>
      <c r="M44" s="5"/>
      <c r="N44" s="5"/>
    </row>
    <row r="45" spans="1:16" ht="12.75">
      <c r="A45" s="353" t="s">
        <v>34</v>
      </c>
      <c r="B45" s="1"/>
      <c r="C45" s="42">
        <v>6647</v>
      </c>
      <c r="D45" s="40">
        <f>+'6010-6493'!B191</f>
        <v>6647</v>
      </c>
      <c r="E45" s="40">
        <f t="shared" si="8"/>
        <v>0</v>
      </c>
      <c r="F45" s="40">
        <f>+'6010-6493'!B191</f>
        <v>6647</v>
      </c>
      <c r="G45" s="42">
        <v>7000</v>
      </c>
      <c r="H45" s="40">
        <f t="shared" si="9"/>
        <v>-353</v>
      </c>
      <c r="I45" s="983">
        <f>+'6010-6493'!D185</f>
        <v>8000</v>
      </c>
      <c r="J45" s="1037">
        <f t="shared" si="10"/>
        <v>1000</v>
      </c>
      <c r="K45" s="938">
        <f t="shared" si="4"/>
        <v>0.14285714285714285</v>
      </c>
      <c r="L45" s="2"/>
      <c r="M45" s="5"/>
      <c r="N45" s="5"/>
      <c r="O45" s="5"/>
      <c r="P45" s="5"/>
    </row>
    <row r="46" spans="1:16" ht="12.75">
      <c r="A46" s="353" t="s">
        <v>35</v>
      </c>
      <c r="B46" s="1"/>
      <c r="C46" s="42">
        <v>3300</v>
      </c>
      <c r="D46" s="40">
        <f>+'6010-6493'!B200</f>
        <v>3300</v>
      </c>
      <c r="E46" s="40">
        <f t="shared" si="8"/>
        <v>0</v>
      </c>
      <c r="F46" s="40">
        <f>+'6010-6493'!B203</f>
        <v>3600</v>
      </c>
      <c r="G46" s="42">
        <v>3600</v>
      </c>
      <c r="H46" s="40">
        <f t="shared" si="9"/>
        <v>0</v>
      </c>
      <c r="I46" s="983">
        <f>+'6010-6493'!D197</f>
        <v>3600</v>
      </c>
      <c r="J46" s="1037">
        <f t="shared" si="10"/>
        <v>0</v>
      </c>
      <c r="K46" s="938">
        <f t="shared" si="4"/>
        <v>0</v>
      </c>
      <c r="L46" s="2"/>
      <c r="M46" s="5"/>
      <c r="N46" s="5"/>
    </row>
    <row r="47" spans="1:16" ht="12.75">
      <c r="A47" s="353" t="s">
        <v>36</v>
      </c>
      <c r="B47" s="1"/>
      <c r="C47" s="42">
        <v>1094.6300000000001</v>
      </c>
      <c r="D47" s="40">
        <f>+'6010-6493'!B215</f>
        <v>1094.6300000000001</v>
      </c>
      <c r="E47" s="40">
        <f t="shared" si="8"/>
        <v>0</v>
      </c>
      <c r="F47" s="344">
        <f>+'6010-6493'!B218</f>
        <v>1134.6300000000001</v>
      </c>
      <c r="G47" s="42">
        <v>1100</v>
      </c>
      <c r="H47" s="40">
        <f t="shared" si="9"/>
        <v>34.630000000000109</v>
      </c>
      <c r="I47" s="983">
        <f>+'6010-6493'!D208</f>
        <v>1300</v>
      </c>
      <c r="J47" s="1037">
        <f t="shared" si="10"/>
        <v>200</v>
      </c>
      <c r="K47" s="938">
        <f t="shared" si="4"/>
        <v>0.18181818181818182</v>
      </c>
      <c r="L47" s="2"/>
      <c r="M47" s="5"/>
      <c r="N47" s="5"/>
    </row>
    <row r="48" spans="1:16" ht="12.75">
      <c r="A48" s="353" t="s">
        <v>37</v>
      </c>
      <c r="B48" s="1"/>
      <c r="C48" s="42">
        <v>16914.25</v>
      </c>
      <c r="D48" s="40">
        <f>+'6010-6493'!B226</f>
        <v>16914.25</v>
      </c>
      <c r="E48" s="40">
        <f t="shared" si="8"/>
        <v>0</v>
      </c>
      <c r="F48" s="40">
        <f>+'6010-6493'!B228</f>
        <v>16914.25</v>
      </c>
      <c r="G48" s="42">
        <v>16000</v>
      </c>
      <c r="H48" s="40">
        <f t="shared" si="9"/>
        <v>914.25</v>
      </c>
      <c r="I48" s="983">
        <f>+'6010-6493'!D223</f>
        <v>18200</v>
      </c>
      <c r="J48" s="1037">
        <f t="shared" si="10"/>
        <v>2200</v>
      </c>
      <c r="K48" s="938">
        <f t="shared" si="4"/>
        <v>0.13750000000000001</v>
      </c>
      <c r="L48" s="2"/>
      <c r="M48" s="5"/>
      <c r="N48" s="5"/>
    </row>
    <row r="49" spans="1:16" ht="12.75">
      <c r="A49" s="353" t="s">
        <v>38</v>
      </c>
      <c r="B49" s="1"/>
      <c r="C49" s="42">
        <v>2881.44</v>
      </c>
      <c r="D49" s="40">
        <f>+'6010-6493'!B235</f>
        <v>2881.44</v>
      </c>
      <c r="E49" s="40">
        <f t="shared" si="8"/>
        <v>0</v>
      </c>
      <c r="F49" s="40">
        <f>+'6010-6493'!B238</f>
        <v>2881.44</v>
      </c>
      <c r="G49" s="42">
        <v>2900</v>
      </c>
      <c r="H49" s="40">
        <f t="shared" si="9"/>
        <v>-18.559999999999945</v>
      </c>
      <c r="I49" s="983">
        <f>+'6010-6493'!D233</f>
        <v>3032</v>
      </c>
      <c r="J49" s="1037">
        <f t="shared" si="10"/>
        <v>132</v>
      </c>
      <c r="K49" s="938">
        <f t="shared" si="4"/>
        <v>4.5517241379310347E-2</v>
      </c>
      <c r="L49" s="2"/>
      <c r="M49" s="5"/>
      <c r="N49" s="5"/>
    </row>
    <row r="50" spans="1:16" ht="12.75">
      <c r="A50" s="353" t="s">
        <v>39</v>
      </c>
      <c r="B50" s="1"/>
      <c r="C50" s="42">
        <v>0</v>
      </c>
      <c r="D50" s="40">
        <f>+'6010-6493'!B247</f>
        <v>0</v>
      </c>
      <c r="E50" s="40">
        <f t="shared" si="8"/>
        <v>0</v>
      </c>
      <c r="F50" s="40">
        <f>+'6010-6493'!B250</f>
        <v>225</v>
      </c>
      <c r="G50" s="42">
        <v>1000</v>
      </c>
      <c r="H50" s="40">
        <f t="shared" si="9"/>
        <v>-775</v>
      </c>
      <c r="I50" s="983">
        <f>+'6010-6493'!D243</f>
        <v>1500</v>
      </c>
      <c r="J50" s="1037">
        <f t="shared" si="10"/>
        <v>500</v>
      </c>
      <c r="K50" s="938">
        <f t="shared" si="4"/>
        <v>0.5</v>
      </c>
      <c r="L50" s="2"/>
      <c r="M50" s="5"/>
      <c r="N50" s="5"/>
    </row>
    <row r="51" spans="1:16" ht="12.75">
      <c r="A51" s="353" t="s">
        <v>40</v>
      </c>
      <c r="B51" s="1"/>
      <c r="C51" s="42">
        <v>0</v>
      </c>
      <c r="D51" s="40">
        <f>+'6010-6493'!B257</f>
        <v>0</v>
      </c>
      <c r="E51" s="40">
        <f t="shared" si="8"/>
        <v>0</v>
      </c>
      <c r="F51" s="40">
        <f>+'6010-6493'!B260</f>
        <v>0</v>
      </c>
      <c r="G51" s="42">
        <v>1000</v>
      </c>
      <c r="H51" s="40">
        <f t="shared" si="9"/>
        <v>-1000</v>
      </c>
      <c r="I51" s="983">
        <f>+'6010-6493'!D255</f>
        <v>2000</v>
      </c>
      <c r="J51" s="1037">
        <f t="shared" si="10"/>
        <v>1000</v>
      </c>
      <c r="K51" s="938">
        <f t="shared" si="4"/>
        <v>1</v>
      </c>
      <c r="L51" s="2"/>
      <c r="M51" s="5"/>
      <c r="N51" s="5"/>
    </row>
    <row r="52" spans="1:16" ht="12.75">
      <c r="A52" s="353" t="s">
        <v>41</v>
      </c>
      <c r="B52" s="1"/>
      <c r="C52" s="42">
        <v>3997.23</v>
      </c>
      <c r="D52" s="40">
        <f>+'6010-6493'!B273</f>
        <v>3997.23</v>
      </c>
      <c r="E52" s="40">
        <f t="shared" si="8"/>
        <v>0</v>
      </c>
      <c r="F52" s="40">
        <f>+'6010-6493'!B276</f>
        <v>4025</v>
      </c>
      <c r="G52" s="42">
        <v>4025</v>
      </c>
      <c r="H52" s="40">
        <f t="shared" si="9"/>
        <v>0</v>
      </c>
      <c r="I52" s="983">
        <f>+'6010-6493'!D265</f>
        <v>4240</v>
      </c>
      <c r="J52" s="1037">
        <f t="shared" si="10"/>
        <v>215</v>
      </c>
      <c r="K52" s="938">
        <f t="shared" si="4"/>
        <v>5.3416149068322982E-2</v>
      </c>
      <c r="L52" s="2"/>
      <c r="M52" s="5"/>
      <c r="N52" s="5"/>
      <c r="O52" s="5"/>
      <c r="P52" s="5"/>
    </row>
    <row r="53" spans="1:16" ht="12.75">
      <c r="A53" s="353" t="s">
        <v>42</v>
      </c>
      <c r="B53" s="1"/>
      <c r="C53" s="42">
        <v>709.09</v>
      </c>
      <c r="D53" s="40">
        <f>+'6010-6493'!B285</f>
        <v>709.09</v>
      </c>
      <c r="E53" s="40">
        <f t="shared" si="8"/>
        <v>0</v>
      </c>
      <c r="F53" s="40">
        <f>+'6010-6493'!B288</f>
        <v>709.09</v>
      </c>
      <c r="G53" s="42">
        <v>600</v>
      </c>
      <c r="H53" s="40">
        <f t="shared" si="9"/>
        <v>109.09000000000003</v>
      </c>
      <c r="I53" s="983">
        <f>+'6010-6493'!D281</f>
        <v>825</v>
      </c>
      <c r="J53" s="1037">
        <f t="shared" si="10"/>
        <v>225</v>
      </c>
      <c r="K53" s="938">
        <f t="shared" si="4"/>
        <v>0.375</v>
      </c>
      <c r="L53" s="2"/>
      <c r="M53" s="5"/>
      <c r="N53" s="5"/>
    </row>
    <row r="54" spans="1:16" ht="12.75">
      <c r="A54" s="353" t="s">
        <v>43</v>
      </c>
      <c r="B54" s="1"/>
      <c r="C54" s="5">
        <v>0</v>
      </c>
      <c r="D54" s="40">
        <f>+'6010-6493'!B295</f>
        <v>0</v>
      </c>
      <c r="E54" s="40">
        <f t="shared" si="8"/>
        <v>0</v>
      </c>
      <c r="F54" s="40">
        <f>+'6010-6493'!B299</f>
        <v>0</v>
      </c>
      <c r="G54" s="42">
        <v>950</v>
      </c>
      <c r="H54" s="40">
        <f t="shared" si="9"/>
        <v>-950</v>
      </c>
      <c r="I54" s="983">
        <f>+'6010-6493'!D293</f>
        <v>950</v>
      </c>
      <c r="J54" s="1037">
        <f t="shared" si="10"/>
        <v>0</v>
      </c>
      <c r="K54" s="938">
        <f t="shared" si="4"/>
        <v>0</v>
      </c>
      <c r="L54" s="2"/>
      <c r="M54" s="5"/>
      <c r="N54" s="5"/>
    </row>
    <row r="55" spans="1:16" ht="12.75">
      <c r="A55" s="353" t="s">
        <v>44</v>
      </c>
      <c r="B55" s="1"/>
      <c r="C55" s="42">
        <v>152</v>
      </c>
      <c r="D55" s="40">
        <f>+'6010-6493'!B307</f>
        <v>152</v>
      </c>
      <c r="E55" s="40">
        <f t="shared" si="8"/>
        <v>0</v>
      </c>
      <c r="F55" s="40">
        <f>+'6010-6493'!B309</f>
        <v>152</v>
      </c>
      <c r="G55" s="42">
        <v>150</v>
      </c>
      <c r="H55" s="40">
        <f t="shared" si="9"/>
        <v>2</v>
      </c>
      <c r="I55" s="983">
        <f>+'6010-6493'!D304</f>
        <v>160</v>
      </c>
      <c r="J55" s="1037">
        <f t="shared" si="10"/>
        <v>10</v>
      </c>
      <c r="K55" s="938">
        <f t="shared" si="4"/>
        <v>6.6666666666666666E-2</v>
      </c>
      <c r="L55" s="2"/>
      <c r="M55" s="5"/>
      <c r="N55" s="5"/>
    </row>
    <row r="56" spans="1:16" ht="12.75">
      <c r="A56" s="353" t="s">
        <v>45</v>
      </c>
      <c r="B56" s="1"/>
      <c r="C56" s="42">
        <f>10312.76+1720</f>
        <v>12032.76</v>
      </c>
      <c r="D56" s="40">
        <f>+'6010-6493'!B322</f>
        <v>12032.76</v>
      </c>
      <c r="E56" s="40">
        <f t="shared" si="8"/>
        <v>0</v>
      </c>
      <c r="F56" s="40">
        <f>+'6010-6493'!B325</f>
        <v>12032.76</v>
      </c>
      <c r="G56" s="42">
        <v>5000</v>
      </c>
      <c r="H56" s="40">
        <f t="shared" si="9"/>
        <v>7032.76</v>
      </c>
      <c r="I56" s="983">
        <f>+'6010-6493'!D314</f>
        <v>9500</v>
      </c>
      <c r="J56" s="1037">
        <f t="shared" si="10"/>
        <v>4500</v>
      </c>
      <c r="K56" s="938">
        <f t="shared" si="4"/>
        <v>0.9</v>
      </c>
      <c r="L56" s="2"/>
      <c r="M56" s="5"/>
      <c r="N56" s="5"/>
    </row>
    <row r="57" spans="1:16" ht="12.75">
      <c r="A57" s="353" t="s">
        <v>236</v>
      </c>
      <c r="B57" s="1"/>
      <c r="C57" s="42">
        <v>192.75</v>
      </c>
      <c r="D57" s="40">
        <f>+'6010-6493'!B334</f>
        <v>192.75</v>
      </c>
      <c r="E57" s="40">
        <f t="shared" si="8"/>
        <v>0</v>
      </c>
      <c r="F57" s="40">
        <f>+'6010-6493'!B337</f>
        <v>1885.5</v>
      </c>
      <c r="G57" s="42">
        <v>2500</v>
      </c>
      <c r="H57" s="40">
        <f t="shared" si="9"/>
        <v>-614.5</v>
      </c>
      <c r="I57" s="983">
        <f>+'6010-6493'!D330</f>
        <v>2500</v>
      </c>
      <c r="J57" s="1037">
        <f t="shared" si="10"/>
        <v>0</v>
      </c>
      <c r="K57" s="938">
        <f t="shared" si="4"/>
        <v>0</v>
      </c>
      <c r="L57" s="2"/>
      <c r="M57" s="5"/>
      <c r="N57" s="5"/>
    </row>
    <row r="58" spans="1:16" ht="12.75">
      <c r="A58" s="353" t="s">
        <v>46</v>
      </c>
      <c r="B58" s="1"/>
      <c r="C58" s="42">
        <f>890+890</f>
        <v>1780</v>
      </c>
      <c r="D58" s="40">
        <f>+'6010-6493'!B345</f>
        <v>1780</v>
      </c>
      <c r="E58" s="40">
        <f t="shared" si="8"/>
        <v>0</v>
      </c>
      <c r="F58" s="40">
        <f>+'6010-6493'!B349</f>
        <v>3560</v>
      </c>
      <c r="G58" s="42">
        <v>4200</v>
      </c>
      <c r="H58" s="40">
        <f t="shared" si="9"/>
        <v>-640</v>
      </c>
      <c r="I58" s="983">
        <f>+'6010-6493'!D342</f>
        <v>4200</v>
      </c>
      <c r="J58" s="1037">
        <f t="shared" si="10"/>
        <v>0</v>
      </c>
      <c r="K58" s="938">
        <f t="shared" si="4"/>
        <v>0</v>
      </c>
      <c r="L58" s="2"/>
      <c r="M58" s="5"/>
      <c r="N58" s="5"/>
    </row>
    <row r="59" spans="1:16" ht="12.75">
      <c r="A59" s="353" t="s">
        <v>47</v>
      </c>
      <c r="B59" s="1"/>
      <c r="C59" s="42">
        <v>712.5</v>
      </c>
      <c r="D59" s="40">
        <f>+'6010-6493'!B361</f>
        <v>712.5</v>
      </c>
      <c r="E59" s="40">
        <f t="shared" si="8"/>
        <v>0</v>
      </c>
      <c r="F59" s="40">
        <f>+'6010-6493'!B365</f>
        <v>1068.75</v>
      </c>
      <c r="G59" s="42">
        <v>4000</v>
      </c>
      <c r="H59" s="40">
        <f t="shared" si="9"/>
        <v>-2931.25</v>
      </c>
      <c r="I59" s="983">
        <f>+'6010-6493'!D354</f>
        <v>4000</v>
      </c>
      <c r="J59" s="1037">
        <f t="shared" si="10"/>
        <v>0</v>
      </c>
      <c r="K59" s="938">
        <f t="shared" si="4"/>
        <v>0</v>
      </c>
      <c r="L59" s="2"/>
      <c r="M59" s="5"/>
      <c r="N59" s="5"/>
    </row>
    <row r="60" spans="1:16" ht="12.75">
      <c r="A60" s="353" t="s">
        <v>48</v>
      </c>
      <c r="B60" s="1"/>
      <c r="C60" s="5">
        <v>4349.83</v>
      </c>
      <c r="D60" s="40">
        <f>+'6010-6493'!B379</f>
        <v>4349.8300000000008</v>
      </c>
      <c r="E60" s="40">
        <f t="shared" si="8"/>
        <v>0</v>
      </c>
      <c r="F60" s="40">
        <f>+'6010-6493'!B383</f>
        <v>4469.8300000000008</v>
      </c>
      <c r="G60" s="42">
        <v>7000</v>
      </c>
      <c r="H60" s="40">
        <f t="shared" si="9"/>
        <v>-2530.1699999999992</v>
      </c>
      <c r="I60" s="983">
        <f>+'6010-6493'!D370</f>
        <v>7000</v>
      </c>
      <c r="J60" s="1037">
        <f t="shared" si="10"/>
        <v>0</v>
      </c>
      <c r="K60" s="938">
        <f t="shared" si="4"/>
        <v>0</v>
      </c>
      <c r="L60" s="2"/>
      <c r="M60" s="5"/>
      <c r="N60" s="5"/>
    </row>
    <row r="61" spans="1:16" ht="12.75">
      <c r="A61" s="1" t="s">
        <v>49</v>
      </c>
      <c r="B61" s="2"/>
      <c r="C61" s="42">
        <v>8800.7099999999991</v>
      </c>
      <c r="D61" s="40">
        <f>+'6010-6493'!B402</f>
        <v>8800.7099999999991</v>
      </c>
      <c r="E61" s="40">
        <f t="shared" si="8"/>
        <v>0</v>
      </c>
      <c r="F61" s="352">
        <f>+'6010-6493'!B405</f>
        <v>10000</v>
      </c>
      <c r="G61" s="42">
        <v>10000</v>
      </c>
      <c r="H61" s="40">
        <f t="shared" si="9"/>
        <v>0</v>
      </c>
      <c r="I61" s="983">
        <f>+'6010-6493'!D388</f>
        <v>10000</v>
      </c>
      <c r="J61" s="1037">
        <f t="shared" ref="J61:J72" si="11">+I61-G61</f>
        <v>0</v>
      </c>
      <c r="K61" s="938">
        <f t="shared" si="4"/>
        <v>0</v>
      </c>
      <c r="L61" s="2"/>
      <c r="M61" s="5"/>
      <c r="N61" s="5"/>
    </row>
    <row r="62" spans="1:16" ht="12.75">
      <c r="A62" s="1" t="s">
        <v>50</v>
      </c>
      <c r="B62" s="2"/>
      <c r="C62" s="42">
        <f>222.83+9.99</f>
        <v>232.82000000000002</v>
      </c>
      <c r="D62" s="40">
        <f>+'6010-6493'!B416</f>
        <v>232.82</v>
      </c>
      <c r="E62" s="40">
        <f t="shared" si="8"/>
        <v>0</v>
      </c>
      <c r="F62" s="352">
        <f>+'6010-6493'!B419</f>
        <v>300.47200000000004</v>
      </c>
      <c r="G62" s="42">
        <v>600</v>
      </c>
      <c r="H62" s="40">
        <f t="shared" si="9"/>
        <v>-299.52799999999996</v>
      </c>
      <c r="I62" s="983">
        <f>+'6010-6493'!D410</f>
        <v>600</v>
      </c>
      <c r="J62" s="1037">
        <f t="shared" si="11"/>
        <v>0</v>
      </c>
      <c r="K62" s="938">
        <f t="shared" si="4"/>
        <v>0</v>
      </c>
      <c r="L62" s="2"/>
      <c r="M62" s="5"/>
      <c r="N62" s="5"/>
    </row>
    <row r="63" spans="1:16" ht="12.75">
      <c r="A63" s="353" t="s">
        <v>51</v>
      </c>
      <c r="B63" s="1"/>
      <c r="C63" s="5">
        <f>4204.37+68.8</f>
        <v>4273.17</v>
      </c>
      <c r="D63" s="40">
        <f>+'6010-6493'!B429</f>
        <v>4273.17</v>
      </c>
      <c r="E63" s="40">
        <f t="shared" si="8"/>
        <v>0</v>
      </c>
      <c r="F63" s="352">
        <f>+'6010-6493'!B433</f>
        <v>4666.97</v>
      </c>
      <c r="G63" s="5">
        <v>5400</v>
      </c>
      <c r="H63" s="40">
        <f t="shared" si="9"/>
        <v>-733.02999999999975</v>
      </c>
      <c r="I63" s="983">
        <f>+'6010-6493'!D424</f>
        <v>5400</v>
      </c>
      <c r="J63" s="1037">
        <f t="shared" si="11"/>
        <v>0</v>
      </c>
      <c r="K63" s="938">
        <f t="shared" si="4"/>
        <v>0</v>
      </c>
      <c r="L63" s="2"/>
      <c r="M63" s="5"/>
      <c r="N63" s="5"/>
    </row>
    <row r="64" spans="1:16" ht="12.75">
      <c r="A64" s="353" t="s">
        <v>52</v>
      </c>
      <c r="B64" s="1"/>
      <c r="C64" s="42">
        <v>3236.05</v>
      </c>
      <c r="D64" s="40">
        <f>+'6010-6493'!B441</f>
        <v>3236.05</v>
      </c>
      <c r="E64" s="40">
        <f t="shared" si="8"/>
        <v>0</v>
      </c>
      <c r="F64" s="352">
        <f>+'6010-6493'!B444</f>
        <v>4800</v>
      </c>
      <c r="G64" s="42">
        <v>4800</v>
      </c>
      <c r="H64" s="40">
        <f t="shared" si="9"/>
        <v>0</v>
      </c>
      <c r="I64" s="983">
        <f>+'6010-6493'!D438</f>
        <v>4800</v>
      </c>
      <c r="J64" s="1037">
        <f t="shared" si="11"/>
        <v>0</v>
      </c>
      <c r="K64" s="938">
        <f t="shared" si="4"/>
        <v>0</v>
      </c>
      <c r="L64" s="2"/>
      <c r="M64" s="5"/>
      <c r="N64" s="5"/>
      <c r="O64" s="5"/>
      <c r="P64" s="5"/>
    </row>
    <row r="65" spans="1:16" ht="12.75">
      <c r="A65" s="353" t="s">
        <v>53</v>
      </c>
      <c r="B65" s="1"/>
      <c r="C65" s="42">
        <v>159.16999999999999</v>
      </c>
      <c r="D65" s="40">
        <f>+'6010-6493'!B452</f>
        <v>159.17000000000002</v>
      </c>
      <c r="E65" s="40">
        <f t="shared" si="8"/>
        <v>0</v>
      </c>
      <c r="F65" s="352">
        <f>+'6010-6493'!B455</f>
        <v>219.17000000000002</v>
      </c>
      <c r="G65" s="42">
        <v>500</v>
      </c>
      <c r="H65" s="40">
        <f t="shared" si="9"/>
        <v>-280.83</v>
      </c>
      <c r="I65" s="983">
        <f>+'6010-6493'!D449</f>
        <v>500</v>
      </c>
      <c r="J65" s="1037">
        <f t="shared" si="11"/>
        <v>0</v>
      </c>
      <c r="K65" s="938">
        <f t="shared" si="4"/>
        <v>0</v>
      </c>
      <c r="L65" s="2"/>
      <c r="M65" s="5"/>
      <c r="N65" s="5"/>
    </row>
    <row r="66" spans="1:16" ht="12.75">
      <c r="A66" s="353" t="s">
        <v>54</v>
      </c>
      <c r="B66" s="1"/>
      <c r="C66" s="42">
        <v>300</v>
      </c>
      <c r="D66" s="40">
        <f>+'6010-6493'!B465</f>
        <v>300</v>
      </c>
      <c r="E66" s="40">
        <f t="shared" si="8"/>
        <v>0</v>
      </c>
      <c r="F66" s="352">
        <f>+'6010-6493'!B468</f>
        <v>660</v>
      </c>
      <c r="G66" s="42">
        <v>1000</v>
      </c>
      <c r="H66" s="40">
        <f t="shared" si="9"/>
        <v>-340</v>
      </c>
      <c r="I66" s="983">
        <f>+'6010-6493'!D460</f>
        <v>1000</v>
      </c>
      <c r="J66" s="1037">
        <f t="shared" si="11"/>
        <v>0</v>
      </c>
      <c r="K66" s="938">
        <f t="shared" si="4"/>
        <v>0</v>
      </c>
      <c r="L66" s="2"/>
      <c r="M66" s="5"/>
      <c r="N66" s="5"/>
    </row>
    <row r="67" spans="1:16" ht="12.75">
      <c r="A67" s="353" t="s">
        <v>55</v>
      </c>
      <c r="B67" s="1"/>
      <c r="C67" s="42">
        <v>270.73</v>
      </c>
      <c r="D67" s="40">
        <f>+'6010-6493'!B477</f>
        <v>270.73</v>
      </c>
      <c r="E67" s="40">
        <f t="shared" si="8"/>
        <v>0</v>
      </c>
      <c r="F67" s="352">
        <f>+'6010-6493'!B480</f>
        <v>546.98</v>
      </c>
      <c r="G67" s="42">
        <v>3400</v>
      </c>
      <c r="H67" s="40">
        <f t="shared" si="9"/>
        <v>-2853.02</v>
      </c>
      <c r="I67" s="983">
        <f>+'6010-6493'!D473</f>
        <v>1600</v>
      </c>
      <c r="J67" s="1037">
        <f t="shared" si="11"/>
        <v>-1800</v>
      </c>
      <c r="K67" s="938">
        <f t="shared" si="4"/>
        <v>-0.52941176470588236</v>
      </c>
      <c r="L67" s="2" t="s">
        <v>1034</v>
      </c>
      <c r="M67" s="5"/>
      <c r="N67" s="5"/>
    </row>
    <row r="68" spans="1:16" ht="12.75">
      <c r="A68" s="353" t="s">
        <v>56</v>
      </c>
      <c r="B68" s="1"/>
      <c r="C68" s="42">
        <v>326.5</v>
      </c>
      <c r="D68" s="40">
        <f>+'6010-6493'!B489</f>
        <v>326.5</v>
      </c>
      <c r="E68" s="40">
        <f t="shared" si="8"/>
        <v>0</v>
      </c>
      <c r="F68" s="352">
        <f>+'6010-6493'!B493</f>
        <v>396.7</v>
      </c>
      <c r="G68" s="42">
        <v>500</v>
      </c>
      <c r="H68" s="40">
        <f t="shared" si="9"/>
        <v>-103.30000000000001</v>
      </c>
      <c r="I68" s="983">
        <f>+'6010-6493'!D485</f>
        <v>515</v>
      </c>
      <c r="J68" s="1037">
        <f t="shared" si="11"/>
        <v>15</v>
      </c>
      <c r="K68" s="938">
        <f t="shared" si="4"/>
        <v>0.03</v>
      </c>
      <c r="L68" s="2"/>
      <c r="M68" s="5"/>
      <c r="N68" s="5"/>
    </row>
    <row r="69" spans="1:16" ht="12.75">
      <c r="A69" s="353" t="s">
        <v>57</v>
      </c>
      <c r="B69" s="1"/>
      <c r="C69" s="42">
        <v>2268.8200000000002</v>
      </c>
      <c r="D69" s="40">
        <f>+'6010-6493'!B504</f>
        <v>2268.8199999999997</v>
      </c>
      <c r="E69" s="40">
        <f t="shared" si="8"/>
        <v>0</v>
      </c>
      <c r="F69" s="352">
        <f>+'6010-6493'!B507</f>
        <v>2600</v>
      </c>
      <c r="G69" s="42">
        <v>2600</v>
      </c>
      <c r="H69" s="40">
        <f t="shared" si="9"/>
        <v>0</v>
      </c>
      <c r="I69" s="983">
        <f>+'6010-6493'!D498</f>
        <v>2600</v>
      </c>
      <c r="J69" s="1037">
        <f t="shared" si="11"/>
        <v>0</v>
      </c>
      <c r="K69" s="938">
        <f t="shared" si="4"/>
        <v>0</v>
      </c>
      <c r="L69" s="2"/>
      <c r="M69" s="5"/>
      <c r="N69" s="5"/>
    </row>
    <row r="70" spans="1:16" ht="12.75">
      <c r="A70" s="353" t="s">
        <v>58</v>
      </c>
      <c r="B70" s="1"/>
      <c r="C70" s="42">
        <f>528+635.3</f>
        <v>1163.3</v>
      </c>
      <c r="D70" s="40">
        <f>+'6010-6493'!B516</f>
        <v>1163.3</v>
      </c>
      <c r="E70" s="40">
        <f t="shared" si="8"/>
        <v>0</v>
      </c>
      <c r="F70" s="352">
        <f>+'6010-6493'!B518</f>
        <v>1500</v>
      </c>
      <c r="G70" s="42">
        <v>1500</v>
      </c>
      <c r="H70" s="40">
        <f t="shared" si="9"/>
        <v>0</v>
      </c>
      <c r="I70" s="983">
        <f>+'6010-6493'!D512</f>
        <v>2950</v>
      </c>
      <c r="J70" s="1037">
        <f t="shared" si="11"/>
        <v>1450</v>
      </c>
      <c r="K70" s="938">
        <f t="shared" si="4"/>
        <v>0.96666666666666667</v>
      </c>
      <c r="L70" s="2"/>
      <c r="M70" s="5"/>
      <c r="N70" s="5"/>
    </row>
    <row r="71" spans="1:16" ht="12.75">
      <c r="A71" s="1" t="s">
        <v>59</v>
      </c>
      <c r="B71" s="2"/>
      <c r="C71" s="42">
        <v>850.55</v>
      </c>
      <c r="D71" s="40">
        <f>+'6010-6493'!B526</f>
        <v>850.55</v>
      </c>
      <c r="E71" s="40">
        <f t="shared" si="8"/>
        <v>0</v>
      </c>
      <c r="F71" s="352">
        <f>+'6010-6493'!B529</f>
        <v>980.55</v>
      </c>
      <c r="G71" s="42">
        <v>1000</v>
      </c>
      <c r="H71" s="40">
        <f t="shared" si="9"/>
        <v>-19.450000000000045</v>
      </c>
      <c r="I71" s="983">
        <f>+'6010-6493'!D523</f>
        <v>1000</v>
      </c>
      <c r="J71" s="1037">
        <f t="shared" si="11"/>
        <v>0</v>
      </c>
      <c r="K71" s="938">
        <f t="shared" ref="K71:K83" si="12">SUM(I71-G71)/G71</f>
        <v>0</v>
      </c>
      <c r="L71" s="2"/>
      <c r="M71" s="5"/>
      <c r="N71" s="5"/>
    </row>
    <row r="72" spans="1:16" ht="12.75">
      <c r="A72" s="1" t="s">
        <v>60</v>
      </c>
      <c r="B72" s="2"/>
      <c r="C72" s="42">
        <f>6521+958+958+958</f>
        <v>9395</v>
      </c>
      <c r="D72" s="40">
        <f>+'6010-6493'!B537</f>
        <v>9395</v>
      </c>
      <c r="E72" s="40">
        <f t="shared" si="8"/>
        <v>0</v>
      </c>
      <c r="F72" s="352">
        <f>+'6010-6493'!B541</f>
        <v>11311</v>
      </c>
      <c r="G72" s="42">
        <v>13820</v>
      </c>
      <c r="H72" s="40">
        <f t="shared" si="9"/>
        <v>-2509</v>
      </c>
      <c r="I72" s="983">
        <f>+'6010-6493'!D534</f>
        <v>13820</v>
      </c>
      <c r="J72" s="1037">
        <f t="shared" si="11"/>
        <v>0</v>
      </c>
      <c r="K72" s="938">
        <f t="shared" si="12"/>
        <v>0</v>
      </c>
      <c r="L72" s="2"/>
      <c r="M72" s="5"/>
      <c r="N72" s="5"/>
    </row>
    <row r="73" spans="1:16" ht="12.75">
      <c r="A73" s="1" t="s">
        <v>159</v>
      </c>
      <c r="B73" s="2"/>
      <c r="C73" s="42">
        <v>11160.94</v>
      </c>
      <c r="D73" s="40">
        <f>+'6010-6493'!B552</f>
        <v>11160.94</v>
      </c>
      <c r="E73" s="40">
        <f t="shared" si="8"/>
        <v>0</v>
      </c>
      <c r="F73" s="352">
        <f>+'6010-6493'!B568</f>
        <v>2000</v>
      </c>
      <c r="G73" s="42">
        <v>11000</v>
      </c>
      <c r="H73" s="40">
        <f t="shared" si="9"/>
        <v>-9000</v>
      </c>
      <c r="I73" s="983">
        <f>+'6010-6493'!D546</f>
        <v>12000</v>
      </c>
      <c r="J73" s="1037">
        <f t="shared" ref="J73:J79" si="13">+I73-G73</f>
        <v>1000</v>
      </c>
      <c r="K73" s="938">
        <f t="shared" si="12"/>
        <v>9.0909090909090912E-2</v>
      </c>
      <c r="L73" s="2"/>
      <c r="O73" s="5"/>
      <c r="P73" s="5"/>
    </row>
    <row r="74" spans="1:16" ht="12.75">
      <c r="A74" s="353" t="s">
        <v>61</v>
      </c>
      <c r="B74" s="1"/>
      <c r="C74" s="42">
        <v>1556.12</v>
      </c>
      <c r="D74" s="40">
        <f>+'6010-6493'!B565</f>
        <v>1556.1200000000001</v>
      </c>
      <c r="E74" s="40">
        <f t="shared" si="8"/>
        <v>0</v>
      </c>
      <c r="F74" s="352">
        <f>+'6010-6493'!B568</f>
        <v>2000</v>
      </c>
      <c r="G74" s="42">
        <v>2000</v>
      </c>
      <c r="H74" s="40">
        <f t="shared" si="9"/>
        <v>0</v>
      </c>
      <c r="I74" s="983">
        <f>+'6010-6493'!D560</f>
        <v>2000</v>
      </c>
      <c r="J74" s="1037">
        <f t="shared" si="13"/>
        <v>0</v>
      </c>
      <c r="K74" s="938">
        <f t="shared" si="12"/>
        <v>0</v>
      </c>
      <c r="L74" s="2"/>
      <c r="M74" s="5"/>
      <c r="N74" s="5"/>
      <c r="O74" s="5"/>
      <c r="P74" s="5"/>
    </row>
    <row r="75" spans="1:16" ht="12.75">
      <c r="A75" s="353" t="s">
        <v>62</v>
      </c>
      <c r="B75" s="1"/>
      <c r="C75" s="42">
        <f>5711+1026.99+982+1054</f>
        <v>8773.99</v>
      </c>
      <c r="D75" s="40">
        <f>+'6010-6493'!B576</f>
        <v>8773.99</v>
      </c>
      <c r="E75" s="40">
        <f t="shared" si="8"/>
        <v>0</v>
      </c>
      <c r="F75" s="352">
        <f>+'6010-6493'!B579</f>
        <v>10573.99</v>
      </c>
      <c r="G75" s="42">
        <v>10500</v>
      </c>
      <c r="H75" s="40">
        <f t="shared" si="9"/>
        <v>73.989999999999782</v>
      </c>
      <c r="I75" s="983">
        <f>+'6010-6493'!D573</f>
        <v>27000</v>
      </c>
      <c r="J75" s="1037">
        <f t="shared" si="13"/>
        <v>16500</v>
      </c>
      <c r="K75" s="938">
        <f t="shared" si="12"/>
        <v>1.5714285714285714</v>
      </c>
      <c r="L75" s="2" t="s">
        <v>1035</v>
      </c>
    </row>
    <row r="76" spans="1:16" ht="12.75">
      <c r="A76" s="353" t="s">
        <v>611</v>
      </c>
      <c r="B76" s="1"/>
      <c r="C76" s="42">
        <f>1233.5+286.04</f>
        <v>1519.54</v>
      </c>
      <c r="D76" s="40">
        <f>+'6010-6493'!B591</f>
        <v>1519.54</v>
      </c>
      <c r="E76" s="40">
        <f t="shared" si="8"/>
        <v>0</v>
      </c>
      <c r="F76" s="352">
        <f>+'6010-6493'!B594</f>
        <v>3000</v>
      </c>
      <c r="G76" s="42">
        <v>3000</v>
      </c>
      <c r="H76" s="40">
        <f t="shared" si="9"/>
        <v>0</v>
      </c>
      <c r="I76" s="983">
        <f>+'6010-6493'!D584</f>
        <v>3000</v>
      </c>
      <c r="J76" s="1037">
        <f t="shared" si="13"/>
        <v>0</v>
      </c>
      <c r="K76" s="938">
        <f t="shared" si="12"/>
        <v>0</v>
      </c>
      <c r="L76" s="2"/>
      <c r="O76" s="5"/>
      <c r="P76" s="5"/>
    </row>
    <row r="77" spans="1:16" ht="12.75">
      <c r="A77" s="353" t="s">
        <v>64</v>
      </c>
      <c r="B77" s="1"/>
      <c r="C77" s="42">
        <f>437.25+250</f>
        <v>687.25</v>
      </c>
      <c r="D77" s="40">
        <f>+'6010-6493'!B604</f>
        <v>687.25</v>
      </c>
      <c r="E77" s="40">
        <f t="shared" si="8"/>
        <v>0</v>
      </c>
      <c r="F77" s="352">
        <f>+'6010-6493'!B606</f>
        <v>687.25</v>
      </c>
      <c r="G77" s="355">
        <v>1000</v>
      </c>
      <c r="H77" s="40">
        <f t="shared" si="9"/>
        <v>-312.75</v>
      </c>
      <c r="I77" s="983">
        <f>+'6010-6493'!D599</f>
        <v>1250</v>
      </c>
      <c r="J77" s="1037">
        <f t="shared" si="13"/>
        <v>250</v>
      </c>
      <c r="K77" s="938">
        <f t="shared" si="12"/>
        <v>0.25</v>
      </c>
      <c r="L77" s="2"/>
      <c r="O77" s="5"/>
      <c r="P77" s="5"/>
    </row>
    <row r="78" spans="1:16" ht="12.75">
      <c r="A78" s="353" t="s">
        <v>65</v>
      </c>
      <c r="B78" s="1"/>
      <c r="C78" s="42">
        <v>1800</v>
      </c>
      <c r="D78" s="40">
        <f>+'6010-6493'!B624</f>
        <v>1800</v>
      </c>
      <c r="E78" s="40">
        <f t="shared" si="8"/>
        <v>0</v>
      </c>
      <c r="F78" s="352">
        <f>+'6010-6493'!B627</f>
        <v>1800</v>
      </c>
      <c r="G78" s="355">
        <v>2500</v>
      </c>
      <c r="H78" s="40">
        <f t="shared" si="9"/>
        <v>-700</v>
      </c>
      <c r="I78" s="983">
        <f>+'6010-6493'!D620</f>
        <v>2500</v>
      </c>
      <c r="J78" s="1037">
        <f t="shared" si="13"/>
        <v>0</v>
      </c>
      <c r="K78" s="938">
        <f t="shared" si="12"/>
        <v>0</v>
      </c>
      <c r="L78" s="2"/>
      <c r="M78" s="5"/>
      <c r="N78" s="5"/>
      <c r="O78" s="5"/>
      <c r="P78" s="5"/>
    </row>
    <row r="79" spans="1:16" ht="12.75">
      <c r="A79" s="353" t="s">
        <v>66</v>
      </c>
      <c r="B79" s="1"/>
      <c r="C79" s="42">
        <v>0</v>
      </c>
      <c r="D79" s="40">
        <f>+'6010-6493'!B634</f>
        <v>0</v>
      </c>
      <c r="E79" s="40">
        <f t="shared" si="8"/>
        <v>0</v>
      </c>
      <c r="F79" s="352">
        <f>+'6010-6493'!B636</f>
        <v>0</v>
      </c>
      <c r="G79" s="355">
        <v>100</v>
      </c>
      <c r="H79" s="40">
        <f t="shared" si="9"/>
        <v>-100</v>
      </c>
      <c r="I79" s="983">
        <f>+'6010-6493'!D632</f>
        <v>1000</v>
      </c>
      <c r="J79" s="1037">
        <f t="shared" si="13"/>
        <v>900</v>
      </c>
      <c r="K79" s="938">
        <f t="shared" si="12"/>
        <v>9</v>
      </c>
      <c r="L79" s="2"/>
      <c r="M79" s="5"/>
      <c r="N79" s="5"/>
    </row>
    <row r="80" spans="1:16" ht="12.75">
      <c r="A80" s="1" t="s">
        <v>612</v>
      </c>
      <c r="B80" s="2"/>
      <c r="C80" s="42">
        <v>2852.05</v>
      </c>
      <c r="D80" s="40">
        <f>+'6010-6493'!B645</f>
        <v>2852.0499999999997</v>
      </c>
      <c r="E80" s="40">
        <f t="shared" si="8"/>
        <v>0</v>
      </c>
      <c r="F80" s="352">
        <f>+'6010-6493'!B648</f>
        <v>5000</v>
      </c>
      <c r="G80" s="42">
        <v>5000</v>
      </c>
      <c r="H80" s="40">
        <f t="shared" si="9"/>
        <v>0</v>
      </c>
      <c r="I80" s="983">
        <f>+'6010-6493'!D641</f>
        <v>5000</v>
      </c>
      <c r="J80" s="1037">
        <f>+I80-G80</f>
        <v>0</v>
      </c>
      <c r="K80" s="938">
        <f t="shared" si="12"/>
        <v>0</v>
      </c>
      <c r="L80" s="2"/>
      <c r="M80" s="5"/>
      <c r="N80" s="5"/>
      <c r="O80" s="5"/>
      <c r="P80" s="5"/>
    </row>
    <row r="81" spans="1:16" ht="12.75">
      <c r="A81" s="1" t="s">
        <v>68</v>
      </c>
      <c r="B81" s="2"/>
      <c r="C81" s="42">
        <v>2416.4899999999998</v>
      </c>
      <c r="D81" s="40">
        <f>+'6010-6493'!B658</f>
        <v>2416.4899999999998</v>
      </c>
      <c r="E81" s="40">
        <f t="shared" si="8"/>
        <v>0</v>
      </c>
      <c r="F81" s="352">
        <f>+'6010-6493'!B661</f>
        <v>3000</v>
      </c>
      <c r="G81" s="42">
        <v>3000</v>
      </c>
      <c r="H81" s="40">
        <f t="shared" si="9"/>
        <v>0</v>
      </c>
      <c r="I81" s="983">
        <f>+'6010-6493'!D653</f>
        <v>3000</v>
      </c>
      <c r="J81" s="1037">
        <f>+I81-G81</f>
        <v>0</v>
      </c>
      <c r="K81" s="938">
        <f t="shared" si="12"/>
        <v>0</v>
      </c>
      <c r="L81" s="2"/>
      <c r="M81" s="5"/>
      <c r="N81" s="5"/>
      <c r="O81" s="5"/>
      <c r="P81" s="5"/>
    </row>
    <row r="82" spans="1:16" ht="12.75">
      <c r="A82" s="1" t="s">
        <v>69</v>
      </c>
      <c r="B82" s="2"/>
      <c r="C82" s="42">
        <v>431.31</v>
      </c>
      <c r="D82" s="40">
        <f>+'6010-6493'!B672</f>
        <v>431.30999999999995</v>
      </c>
      <c r="E82" s="40">
        <f t="shared" si="8"/>
        <v>0</v>
      </c>
      <c r="F82" s="352">
        <f>+'6010-6493'!B675</f>
        <v>865.75999999999988</v>
      </c>
      <c r="G82" s="42">
        <v>2500</v>
      </c>
      <c r="H82" s="40">
        <f t="shared" si="9"/>
        <v>-1634.2400000000002</v>
      </c>
      <c r="I82" s="983">
        <f>+'6010-6493'!D666</f>
        <v>2500</v>
      </c>
      <c r="J82" s="1037">
        <f>+I82-G82</f>
        <v>0</v>
      </c>
      <c r="K82" s="938">
        <f t="shared" si="12"/>
        <v>0</v>
      </c>
      <c r="L82" s="2"/>
      <c r="O82" s="5"/>
      <c r="P82" s="5"/>
    </row>
    <row r="83" spans="1:16" ht="13.5" thickBot="1">
      <c r="A83" s="353" t="s">
        <v>432</v>
      </c>
      <c r="B83" s="1"/>
      <c r="C83" s="360">
        <f t="shared" ref="C83:I83" si="14">SUM(C31:C82)</f>
        <v>195592.92999999996</v>
      </c>
      <c r="D83" s="360">
        <f t="shared" si="14"/>
        <v>196102.92999999996</v>
      </c>
      <c r="E83" s="360">
        <f t="shared" si="14"/>
        <v>510</v>
      </c>
      <c r="F83" s="360">
        <f t="shared" si="14"/>
        <v>228914.64400000006</v>
      </c>
      <c r="G83" s="614">
        <f t="shared" si="14"/>
        <v>255065</v>
      </c>
      <c r="H83" s="614">
        <f t="shared" si="14"/>
        <v>-26150.355999999996</v>
      </c>
      <c r="I83" s="1026">
        <f t="shared" si="14"/>
        <v>296202</v>
      </c>
      <c r="J83" s="1041">
        <f>+I83-G83</f>
        <v>41137</v>
      </c>
      <c r="K83" s="938">
        <f t="shared" si="12"/>
        <v>0.16128045792249035</v>
      </c>
      <c r="L83" s="2"/>
      <c r="O83" s="5"/>
      <c r="P83" s="5"/>
    </row>
    <row r="84" spans="1:16" ht="13.5" thickBot="1">
      <c r="A84" s="353"/>
      <c r="B84" s="641" t="s">
        <v>79</v>
      </c>
      <c r="C84" s="362">
        <f>+C29+C83</f>
        <v>661356.47999999986</v>
      </c>
      <c r="D84" s="362">
        <f>+D29+D83</f>
        <v>661866.47999999986</v>
      </c>
      <c r="E84" s="362"/>
      <c r="F84" s="362">
        <f>+F29+F83</f>
        <v>780699.61400000006</v>
      </c>
      <c r="G84" s="485">
        <f>+G29+G83</f>
        <v>841374</v>
      </c>
      <c r="H84" s="485">
        <f>+F84-G84</f>
        <v>-60674.38599999994</v>
      </c>
      <c r="I84" s="1027">
        <f>+I29+I83</f>
        <v>972006</v>
      </c>
      <c r="J84" s="389">
        <f>SUM(I84-G84)/I84</f>
        <v>0.13439423213436955</v>
      </c>
      <c r="K84" s="939"/>
      <c r="L84" s="2"/>
      <c r="M84" s="24"/>
      <c r="O84" s="5"/>
      <c r="P84" s="5"/>
    </row>
    <row r="85" spans="1:16" ht="12.75">
      <c r="B85" s="361"/>
      <c r="C85" s="40"/>
      <c r="D85" s="40"/>
      <c r="E85" s="40"/>
      <c r="F85" s="352"/>
      <c r="G85" s="40"/>
      <c r="H85" s="354"/>
      <c r="I85" s="981"/>
      <c r="K85" s="940"/>
      <c r="L85" s="2"/>
      <c r="M85" s="24"/>
      <c r="O85" s="5"/>
      <c r="P85" s="5"/>
    </row>
    <row r="86" spans="1:16" ht="12.75">
      <c r="A86" s="353" t="s">
        <v>74</v>
      </c>
      <c r="C86" s="40">
        <v>300000</v>
      </c>
      <c r="D86" s="40">
        <v>300000</v>
      </c>
      <c r="E86" s="40"/>
      <c r="F86" s="352">
        <v>300000</v>
      </c>
      <c r="G86" s="355">
        <v>300000</v>
      </c>
      <c r="H86" s="354"/>
      <c r="I86" s="1020">
        <f>+I98</f>
        <v>250000</v>
      </c>
      <c r="J86" s="359"/>
      <c r="K86" s="938">
        <f t="shared" ref="K86:K88" si="15">SUM(I86-G86)/G86</f>
        <v>-0.16666666666666666</v>
      </c>
      <c r="L86" s="355"/>
      <c r="M86" s="24"/>
      <c r="O86" s="5"/>
      <c r="P86" s="5"/>
    </row>
    <row r="87" spans="1:16" ht="13.5" thickBot="1">
      <c r="A87" s="353" t="s">
        <v>75</v>
      </c>
      <c r="B87" s="1"/>
      <c r="C87" s="42">
        <v>0</v>
      </c>
      <c r="D87" s="42"/>
      <c r="E87" s="42"/>
      <c r="F87" s="352"/>
      <c r="G87" s="42">
        <v>75000</v>
      </c>
      <c r="H87" s="354"/>
      <c r="I87" s="983">
        <v>75000</v>
      </c>
      <c r="J87" s="2"/>
      <c r="K87" s="938">
        <f t="shared" si="15"/>
        <v>0</v>
      </c>
      <c r="L87" s="2"/>
      <c r="M87" s="24"/>
      <c r="O87" s="5"/>
      <c r="P87" s="5"/>
    </row>
    <row r="88" spans="1:16" ht="13.5" thickBot="1">
      <c r="B88" s="641" t="s">
        <v>80</v>
      </c>
      <c r="C88" s="364">
        <f>ROUND(SUM(C86:C87),5)</f>
        <v>300000</v>
      </c>
      <c r="D88" s="364">
        <f>ROUND(SUM(D86:D87),5)</f>
        <v>300000</v>
      </c>
      <c r="E88" s="42"/>
      <c r="F88" s="365">
        <f>ROUND(SUM(F86:F87),5)</f>
        <v>300000</v>
      </c>
      <c r="G88" s="364">
        <f>ROUND(SUM(G86:G87),5)</f>
        <v>375000</v>
      </c>
      <c r="H88" s="40"/>
      <c r="I88" s="1023">
        <f>ROUND(SUM(I86:I87),5)</f>
        <v>325000</v>
      </c>
      <c r="J88" s="366"/>
      <c r="K88" s="938">
        <f t="shared" si="15"/>
        <v>-0.13333333333333333</v>
      </c>
      <c r="L88" s="2"/>
      <c r="M88" s="32"/>
      <c r="O88" s="5"/>
      <c r="P88" s="5"/>
    </row>
    <row r="89" spans="1:16" ht="13.5" thickBot="1">
      <c r="C89" s="364"/>
      <c r="D89" s="364"/>
      <c r="E89" s="42"/>
      <c r="F89" s="365"/>
      <c r="G89" s="364"/>
      <c r="H89" s="40"/>
      <c r="I89" s="1023"/>
      <c r="J89" s="366"/>
      <c r="K89" s="3"/>
      <c r="L89" s="2"/>
      <c r="M89" s="24"/>
      <c r="O89" s="5"/>
      <c r="P89" s="5"/>
    </row>
    <row r="90" spans="1:16" s="341" customFormat="1" ht="13.5" thickBot="1">
      <c r="A90" s="353"/>
      <c r="B90" s="367" t="s">
        <v>81</v>
      </c>
      <c r="C90" s="368">
        <f>+C19-C84-C88</f>
        <v>963752.68000000017</v>
      </c>
      <c r="D90" s="42"/>
      <c r="E90" s="42"/>
      <c r="F90" s="368">
        <f>+F19-F84-F88</f>
        <v>850983.961879574</v>
      </c>
      <c r="G90" s="368">
        <f>+G19-G84-G88</f>
        <v>656894</v>
      </c>
      <c r="H90" s="366"/>
      <c r="I90" s="1024">
        <f>+I19-I84-I88</f>
        <v>457651</v>
      </c>
      <c r="J90" s="572">
        <f>+I90-G90</f>
        <v>-199243</v>
      </c>
      <c r="K90" s="938">
        <f t="shared" ref="K90" si="16">SUM(I90-G90)/G90</f>
        <v>-0.30331073202069131</v>
      </c>
      <c r="M90" s="370"/>
      <c r="O90" s="40"/>
      <c r="P90" s="40"/>
    </row>
    <row r="91" spans="1:16" ht="14.25" thickTop="1" thickBot="1">
      <c r="B91" s="1044"/>
      <c r="K91" s="3"/>
      <c r="L91" s="2"/>
      <c r="M91" s="24"/>
      <c r="O91" s="5"/>
      <c r="P91" s="5"/>
    </row>
    <row r="92" spans="1:16" ht="13.5" thickBot="1">
      <c r="A92" s="372"/>
      <c r="B92" s="371"/>
      <c r="C92" s="1069" t="s">
        <v>1</v>
      </c>
      <c r="D92" s="1070"/>
      <c r="E92" s="1070"/>
      <c r="F92" s="1071"/>
      <c r="G92" s="1071"/>
      <c r="H92" s="1071"/>
      <c r="I92" s="1071"/>
      <c r="J92" s="1072"/>
      <c r="K92" s="45"/>
      <c r="L92" s="2"/>
      <c r="O92" s="5"/>
      <c r="P92" s="5"/>
    </row>
    <row r="93" spans="1:16" ht="26.25" thickBot="1">
      <c r="A93" s="373"/>
      <c r="B93" s="46"/>
      <c r="C93" s="374" t="str">
        <f>+C3</f>
        <v>FY 2023-2024 Actual costs to date</v>
      </c>
      <c r="D93" s="309" t="s">
        <v>631</v>
      </c>
      <c r="E93" s="309"/>
      <c r="F93" s="349" t="str">
        <f>+F3</f>
        <v>6/30/2024 Projection</v>
      </c>
      <c r="G93" s="309" t="str">
        <f>+G3</f>
        <v>FY 23-24 Budget</v>
      </c>
      <c r="H93" s="350" t="s">
        <v>152</v>
      </c>
      <c r="I93" s="441" t="str">
        <f>+I3</f>
        <v>FY 24-25 Proposed</v>
      </c>
      <c r="J93" s="375" t="str">
        <f>+J3</f>
        <v>Y2Y diff</v>
      </c>
      <c r="K93" s="3"/>
      <c r="L93" s="2"/>
      <c r="O93" s="5"/>
      <c r="P93" s="5"/>
    </row>
    <row r="94" spans="1:16" ht="12.75">
      <c r="B94" s="1" t="s">
        <v>76</v>
      </c>
      <c r="C94" s="40"/>
      <c r="D94" s="40"/>
      <c r="E94" s="40"/>
      <c r="F94" s="352"/>
      <c r="G94" s="40"/>
      <c r="H94" s="376"/>
      <c r="I94" s="588"/>
      <c r="K94" s="3"/>
      <c r="L94" s="2"/>
      <c r="O94" s="5"/>
      <c r="P94" s="5"/>
    </row>
    <row r="95" spans="1:16" ht="12.75">
      <c r="A95" s="353" t="s">
        <v>3</v>
      </c>
      <c r="B95" s="1"/>
      <c r="C95" s="41">
        <v>911399</v>
      </c>
      <c r="D95" s="41"/>
      <c r="E95" s="40"/>
      <c r="F95" s="41">
        <f>+C95</f>
        <v>911399</v>
      </c>
      <c r="G95" s="40">
        <v>910093</v>
      </c>
      <c r="H95" s="40">
        <f>+F95-G95</f>
        <v>1306</v>
      </c>
      <c r="I95" s="981">
        <f>ROUND(+F109,0)</f>
        <v>1263723</v>
      </c>
      <c r="J95" s="359"/>
      <c r="K95" s="3"/>
      <c r="L95" s="2"/>
      <c r="O95" s="5"/>
      <c r="P95" s="5"/>
    </row>
    <row r="96" spans="1:16" ht="12.75">
      <c r="A96" s="353" t="s">
        <v>6</v>
      </c>
      <c r="B96" s="1"/>
      <c r="C96" s="40">
        <v>50209.79</v>
      </c>
      <c r="D96" s="40">
        <f>+C96</f>
        <v>50209.79</v>
      </c>
      <c r="E96" s="40"/>
      <c r="F96" s="352">
        <f>+Interest!K76-Interest!R76</f>
        <v>59410.918460067704</v>
      </c>
      <c r="G96" s="40">
        <v>31212</v>
      </c>
      <c r="H96" s="40">
        <f>+F96-G96</f>
        <v>28198.918460067704</v>
      </c>
      <c r="I96" s="1020">
        <f>+Interest!K447</f>
        <v>67318</v>
      </c>
      <c r="J96" s="359">
        <f>+I96-G96</f>
        <v>36106</v>
      </c>
      <c r="K96" s="938">
        <f t="shared" ref="K96:K98" si="17">SUM(I96-G96)/G96</f>
        <v>1.15679866717929</v>
      </c>
      <c r="L96" s="2"/>
      <c r="O96" s="5"/>
      <c r="P96" s="5"/>
    </row>
    <row r="97" spans="1:16" ht="12.75">
      <c r="A97" s="353" t="s">
        <v>14</v>
      </c>
      <c r="B97" s="353"/>
      <c r="C97" s="352">
        <v>0</v>
      </c>
      <c r="D97" s="40">
        <f>+Revenue!C86</f>
        <v>0</v>
      </c>
      <c r="E97" s="40">
        <f>+D97-C97</f>
        <v>0</v>
      </c>
      <c r="F97" s="352">
        <f>+D97</f>
        <v>0</v>
      </c>
      <c r="G97" s="40">
        <v>0</v>
      </c>
      <c r="H97" s="40">
        <f t="shared" ref="H97" si="18">+F97-G97</f>
        <v>0</v>
      </c>
      <c r="I97" s="983">
        <f>+Revenue!E20</f>
        <v>15000</v>
      </c>
      <c r="J97" s="291">
        <f t="shared" ref="J97" si="19">+I97-G97</f>
        <v>15000</v>
      </c>
      <c r="K97" s="938"/>
      <c r="L97" s="2"/>
    </row>
    <row r="98" spans="1:16" ht="12.75">
      <c r="A98" s="353" t="s">
        <v>533</v>
      </c>
      <c r="B98" s="1"/>
      <c r="C98" s="356">
        <v>300000</v>
      </c>
      <c r="D98" s="356">
        <f>+C98</f>
        <v>300000</v>
      </c>
      <c r="E98" s="356"/>
      <c r="F98" s="357">
        <f>+C98</f>
        <v>300000</v>
      </c>
      <c r="G98" s="356">
        <f>+G86</f>
        <v>300000</v>
      </c>
      <c r="H98" s="356">
        <f>+F98-G98</f>
        <v>0</v>
      </c>
      <c r="I98" s="1021">
        <v>250000</v>
      </c>
      <c r="J98" s="377">
        <f t="shared" ref="J98" si="20">+I98-G98</f>
        <v>-50000</v>
      </c>
      <c r="K98" s="938">
        <f t="shared" si="17"/>
        <v>-0.16666666666666666</v>
      </c>
      <c r="L98" s="2"/>
      <c r="O98" s="5"/>
      <c r="P98" s="5"/>
    </row>
    <row r="99" spans="1:16" ht="12.75">
      <c r="A99" s="353" t="s">
        <v>77</v>
      </c>
      <c r="B99" s="1"/>
      <c r="C99" s="40">
        <f>SUM(C95:C98)</f>
        <v>1261608.79</v>
      </c>
      <c r="D99" s="40">
        <f>SUM(D95:D98)</f>
        <v>350209.79</v>
      </c>
      <c r="E99" s="40"/>
      <c r="F99" s="352">
        <f>SUM(F95:F98)</f>
        <v>1270809.9184600678</v>
      </c>
      <c r="G99" s="40">
        <f>SUM(G95:G98)</f>
        <v>1241305</v>
      </c>
      <c r="H99" s="40">
        <f>+F99-G99</f>
        <v>29504.918460067827</v>
      </c>
      <c r="I99" s="1022">
        <f>SUM(I95:I98)</f>
        <v>1596041</v>
      </c>
      <c r="J99" s="359">
        <f>+I99-G99</f>
        <v>354736</v>
      </c>
      <c r="K99" s="3"/>
      <c r="L99" s="2"/>
      <c r="O99" s="5"/>
      <c r="P99" s="5"/>
    </row>
    <row r="100" spans="1:16" ht="12.75">
      <c r="H100" s="40"/>
      <c r="I100" s="981"/>
      <c r="K100" s="3"/>
      <c r="L100" s="2"/>
      <c r="O100" s="5"/>
      <c r="P100" s="5"/>
    </row>
    <row r="101" spans="1:16" ht="12.75">
      <c r="B101" s="353" t="s">
        <v>630</v>
      </c>
      <c r="H101" s="40"/>
      <c r="I101" s="981"/>
      <c r="K101" s="3"/>
      <c r="L101" s="2"/>
      <c r="O101" s="5"/>
      <c r="P101" s="5"/>
    </row>
    <row r="102" spans="1:16" ht="12.75">
      <c r="A102" s="353" t="s">
        <v>217</v>
      </c>
      <c r="B102" s="1"/>
      <c r="C102" s="40">
        <v>6268.86</v>
      </c>
      <c r="D102" s="40">
        <f>+'7010-7180'!B13</f>
        <v>6268.8600000000006</v>
      </c>
      <c r="E102" s="40">
        <f>+C102-'7010-7180'!B13</f>
        <v>0</v>
      </c>
      <c r="F102" s="352">
        <f>+'7010-7180'!B16</f>
        <v>6268.8600000000006</v>
      </c>
      <c r="G102" s="5">
        <v>20000</v>
      </c>
      <c r="H102" s="40">
        <f>+F102-G102</f>
        <v>-13731.14</v>
      </c>
      <c r="I102" s="981">
        <f>+'7010-7180'!E3</f>
        <v>40000</v>
      </c>
      <c r="J102" s="359">
        <f t="shared" ref="J102:J106" si="21">+I102-G102</f>
        <v>20000</v>
      </c>
      <c r="K102" s="938">
        <f t="shared" ref="K102:K106" si="22">SUM(I102-G102)/G102</f>
        <v>1</v>
      </c>
      <c r="L102" s="2"/>
      <c r="O102" s="5"/>
      <c r="P102" s="5"/>
    </row>
    <row r="103" spans="1:16" ht="12.75">
      <c r="A103" s="353" t="s">
        <v>375</v>
      </c>
      <c r="B103" s="1"/>
      <c r="C103" s="40">
        <v>817.95</v>
      </c>
      <c r="D103" s="40">
        <f>+'7010-7180'!B26</f>
        <v>817.95</v>
      </c>
      <c r="E103" s="40">
        <f>+C103-'7010-7180'!B26</f>
        <v>0</v>
      </c>
      <c r="F103" s="352">
        <f>+'7010-7180'!B29</f>
        <v>817.95</v>
      </c>
      <c r="G103" s="5">
        <v>15000</v>
      </c>
      <c r="H103" s="40">
        <f>+F103-G103</f>
        <v>-14182.05</v>
      </c>
      <c r="I103" s="981">
        <f>+'7010-7180'!E21</f>
        <v>15000</v>
      </c>
      <c r="J103" s="359">
        <f t="shared" si="21"/>
        <v>0</v>
      </c>
      <c r="K103" s="938">
        <f t="shared" si="22"/>
        <v>0</v>
      </c>
      <c r="L103" s="2"/>
      <c r="O103" s="5"/>
      <c r="P103" s="5"/>
    </row>
    <row r="104" spans="1:16" ht="12.75">
      <c r="A104" s="353" t="s">
        <v>71</v>
      </c>
      <c r="B104" s="1"/>
      <c r="C104" s="40"/>
      <c r="D104" s="40">
        <f>+'7010-7180'!B37</f>
        <v>0</v>
      </c>
      <c r="E104" s="40"/>
      <c r="F104" s="352">
        <f>+'7010-7180'!B40</f>
        <v>0</v>
      </c>
      <c r="G104" s="5">
        <v>1000</v>
      </c>
      <c r="H104" s="40">
        <f>+F104-G104</f>
        <v>-1000</v>
      </c>
      <c r="I104" s="981">
        <f>+'7010-7180'!E34</f>
        <v>1000</v>
      </c>
      <c r="J104" s="359">
        <f>+I104-G104</f>
        <v>0</v>
      </c>
      <c r="K104" s="938">
        <f t="shared" si="22"/>
        <v>0</v>
      </c>
      <c r="L104" s="2"/>
    </row>
    <row r="105" spans="1:16" ht="12.75">
      <c r="A105" s="353" t="s">
        <v>72</v>
      </c>
      <c r="B105" s="1"/>
      <c r="C105" s="42"/>
      <c r="D105" s="40">
        <f>+'7010-7180'!B56</f>
        <v>0</v>
      </c>
      <c r="E105" s="40"/>
      <c r="F105" s="352">
        <f>+'7010-7180'!B59</f>
        <v>0</v>
      </c>
      <c r="G105" s="43">
        <v>95000</v>
      </c>
      <c r="H105" s="40">
        <f>+F105-G105</f>
        <v>-95000</v>
      </c>
      <c r="I105" s="981">
        <f>+'7010-7180'!E45</f>
        <v>190000</v>
      </c>
      <c r="J105" s="359">
        <f t="shared" si="21"/>
        <v>95000</v>
      </c>
      <c r="K105" s="938">
        <f t="shared" si="22"/>
        <v>1</v>
      </c>
      <c r="L105" s="2"/>
    </row>
    <row r="106" spans="1:16" ht="13.5" thickBot="1">
      <c r="A106" s="353" t="s">
        <v>374</v>
      </c>
      <c r="B106" s="1"/>
      <c r="C106" s="42">
        <v>0</v>
      </c>
      <c r="D106" s="40">
        <v>0</v>
      </c>
      <c r="E106" s="40"/>
      <c r="F106" s="352">
        <v>0</v>
      </c>
      <c r="G106" s="43">
        <v>550000</v>
      </c>
      <c r="H106" s="40">
        <f>+F106-G106</f>
        <v>-550000</v>
      </c>
      <c r="I106" s="981">
        <f>+'7010-7180'!E64</f>
        <v>550000</v>
      </c>
      <c r="J106" s="386">
        <f t="shared" si="21"/>
        <v>0</v>
      </c>
      <c r="K106" s="938">
        <f t="shared" si="22"/>
        <v>0</v>
      </c>
      <c r="L106" s="2" t="s">
        <v>314</v>
      </c>
    </row>
    <row r="107" spans="1:16" ht="12.75">
      <c r="A107" s="353" t="s">
        <v>73</v>
      </c>
      <c r="B107" s="1"/>
      <c r="C107" s="364">
        <f>SUM(C102:C106)</f>
        <v>7086.8099999999995</v>
      </c>
      <c r="D107" s="364">
        <f t="shared" ref="D107:I107" si="23">SUM(D102:D106)</f>
        <v>7086.81</v>
      </c>
      <c r="E107" s="364"/>
      <c r="F107" s="364">
        <f t="shared" si="23"/>
        <v>7086.81</v>
      </c>
      <c r="G107" s="364">
        <f t="shared" si="23"/>
        <v>681000</v>
      </c>
      <c r="H107" s="364">
        <f t="shared" si="23"/>
        <v>-673913.19</v>
      </c>
      <c r="I107" s="1023">
        <f t="shared" si="23"/>
        <v>796000</v>
      </c>
      <c r="J107" s="597">
        <f>+I107-G107</f>
        <v>115000</v>
      </c>
      <c r="K107" s="3"/>
      <c r="L107" s="2"/>
    </row>
    <row r="108" spans="1:16" ht="13.5" thickBot="1">
      <c r="C108" s="40"/>
      <c r="D108" s="40"/>
      <c r="E108" s="40"/>
      <c r="F108" s="352"/>
      <c r="G108" s="40"/>
      <c r="I108" s="1022"/>
      <c r="J108" s="62"/>
      <c r="K108" s="3"/>
      <c r="L108" s="2"/>
    </row>
    <row r="109" spans="1:16" ht="13.5" thickBot="1">
      <c r="B109" s="385" t="s">
        <v>81</v>
      </c>
      <c r="C109" s="625">
        <f>+C99-C107</f>
        <v>1254521.98</v>
      </c>
      <c r="D109" s="42"/>
      <c r="E109" s="42"/>
      <c r="F109" s="369">
        <f>+F99-F107</f>
        <v>1263723.1084600678</v>
      </c>
      <c r="G109" s="369">
        <f>+G99-G107</f>
        <v>560305</v>
      </c>
      <c r="H109" s="341"/>
      <c r="I109" s="1024">
        <f>+I99-I107</f>
        <v>800041</v>
      </c>
      <c r="J109" s="378"/>
      <c r="K109" s="3"/>
      <c r="L109" s="2"/>
    </row>
    <row r="110" spans="1:16" ht="13.5" thickTop="1">
      <c r="K110" s="3"/>
      <c r="L110" s="2"/>
    </row>
    <row r="111" spans="1:16">
      <c r="H111" s="834"/>
      <c r="I111" s="835"/>
      <c r="J111" s="836"/>
      <c r="K111" s="3"/>
    </row>
    <row r="112" spans="1:16">
      <c r="F112" s="344" t="s">
        <v>738</v>
      </c>
      <c r="G112" s="5">
        <f>+G84+G107</f>
        <v>1522374</v>
      </c>
      <c r="H112" s="834"/>
      <c r="I112" s="835"/>
      <c r="J112" s="836"/>
      <c r="K112" s="3"/>
    </row>
    <row r="113" spans="1:16" ht="15.75" thickBot="1">
      <c r="K113" s="3"/>
    </row>
    <row r="114" spans="1:16" ht="15.75" thickBot="1">
      <c r="A114" s="346"/>
      <c r="B114" s="379"/>
      <c r="C114" s="1065" t="s">
        <v>614</v>
      </c>
      <c r="D114" s="1073"/>
      <c r="E114" s="1073"/>
      <c r="F114" s="1073"/>
      <c r="G114" s="1073"/>
      <c r="H114" s="1073"/>
      <c r="I114" s="1074"/>
      <c r="J114" s="621"/>
      <c r="K114" s="3"/>
    </row>
    <row r="115" spans="1:16" ht="26.25" thickBot="1">
      <c r="A115" s="347"/>
      <c r="B115" s="622"/>
      <c r="C115" s="600" t="str">
        <f>+C3</f>
        <v>FY 2023-2024 Actual costs to date</v>
      </c>
      <c r="D115" s="627" t="s">
        <v>632</v>
      </c>
      <c r="E115" s="627"/>
      <c r="F115" s="627" t="str">
        <f>+F3</f>
        <v>6/30/2024 Projection</v>
      </c>
      <c r="G115" s="627" t="str">
        <f>+G3</f>
        <v>FY 23-24 Budget</v>
      </c>
      <c r="H115" s="627" t="str">
        <f>+H3</f>
        <v>Budget vs Projection</v>
      </c>
      <c r="I115" s="627" t="str">
        <f>+I3</f>
        <v>FY 24-25 Proposed</v>
      </c>
      <c r="J115" s="623"/>
      <c r="K115" s="45"/>
    </row>
    <row r="116" spans="1:16">
      <c r="B116" s="1" t="s">
        <v>76</v>
      </c>
      <c r="C116" s="40"/>
      <c r="D116" s="40"/>
      <c r="E116" s="40"/>
      <c r="F116" s="352"/>
      <c r="G116" s="40"/>
      <c r="H116" s="40"/>
      <c r="J116" s="62"/>
      <c r="K116" s="45"/>
    </row>
    <row r="117" spans="1:16">
      <c r="A117" s="353" t="s">
        <v>615</v>
      </c>
      <c r="B117" s="1"/>
      <c r="C117" s="40"/>
      <c r="D117" s="40"/>
      <c r="E117" s="40"/>
      <c r="F117" s="41"/>
      <c r="G117" s="40"/>
      <c r="H117" s="354"/>
      <c r="I117" s="981">
        <f>+F125</f>
        <v>15688.009372758517</v>
      </c>
      <c r="J117" s="624"/>
      <c r="K117" s="45"/>
    </row>
    <row r="118" spans="1:16">
      <c r="A118" s="353" t="s">
        <v>616</v>
      </c>
      <c r="B118" s="1"/>
      <c r="C118" s="40">
        <v>15000</v>
      </c>
      <c r="D118" s="40">
        <f t="shared" ref="D118:D119" si="24">+C118</f>
        <v>15000</v>
      </c>
      <c r="E118" s="40"/>
      <c r="F118" s="41">
        <f t="shared" ref="F118" si="25">+C118</f>
        <v>15000</v>
      </c>
      <c r="G118" s="40">
        <v>15000</v>
      </c>
      <c r="H118" s="40">
        <f t="shared" ref="H118:H119" si="26">+F118-G118</f>
        <v>0</v>
      </c>
      <c r="I118" s="587">
        <v>0</v>
      </c>
      <c r="J118" s="624"/>
      <c r="K118" s="45"/>
    </row>
    <row r="119" spans="1:16">
      <c r="A119" s="353" t="s">
        <v>617</v>
      </c>
      <c r="B119" s="1"/>
      <c r="C119" s="357">
        <v>574.38</v>
      </c>
      <c r="D119" s="356">
        <f t="shared" si="24"/>
        <v>574.38</v>
      </c>
      <c r="E119" s="356"/>
      <c r="F119" s="630">
        <f>+Interest!R76</f>
        <v>688.00937275851766</v>
      </c>
      <c r="G119" s="356">
        <v>264</v>
      </c>
      <c r="H119" s="356">
        <f t="shared" si="26"/>
        <v>424.00937275851766</v>
      </c>
      <c r="I119" s="982">
        <f>SUM(Interest!R445,0)</f>
        <v>328.06293380710724</v>
      </c>
      <c r="J119" s="624"/>
      <c r="K119" s="938"/>
    </row>
    <row r="120" spans="1:16">
      <c r="A120" s="353"/>
      <c r="B120" s="1" t="s">
        <v>77</v>
      </c>
      <c r="C120" s="40">
        <f>SUM(C117:C119)</f>
        <v>15574.38</v>
      </c>
      <c r="D120" s="40">
        <f t="shared" ref="D120:F120" si="27">SUM(D117:D119)</f>
        <v>15574.38</v>
      </c>
      <c r="E120" s="40"/>
      <c r="F120" s="40">
        <f t="shared" si="27"/>
        <v>15688.009372758517</v>
      </c>
      <c r="G120" s="42">
        <f>SUM(G117:G119)</f>
        <v>15264</v>
      </c>
      <c r="H120" s="42">
        <f>SUM(H117:H119)</f>
        <v>424.00937275851766</v>
      </c>
      <c r="I120" s="575">
        <f>SUM(I117:I119)</f>
        <v>16016.072306565624</v>
      </c>
      <c r="J120" s="42"/>
      <c r="K120" s="45"/>
    </row>
    <row r="121" spans="1:16">
      <c r="B121" s="1"/>
      <c r="C121" s="40"/>
      <c r="D121" s="40"/>
      <c r="E121" s="40"/>
      <c r="F121" s="352"/>
      <c r="G121" s="42"/>
      <c r="H121" s="42"/>
      <c r="I121" s="629"/>
      <c r="J121" s="62"/>
      <c r="K121" s="45"/>
    </row>
    <row r="122" spans="1:16">
      <c r="A122" s="342" t="s">
        <v>563</v>
      </c>
      <c r="C122" s="5">
        <v>0</v>
      </c>
      <c r="D122" s="5">
        <f>+C122</f>
        <v>0</v>
      </c>
      <c r="E122" s="40"/>
      <c r="F122" s="344">
        <v>0</v>
      </c>
      <c r="G122" s="5">
        <v>7500</v>
      </c>
      <c r="H122" s="5">
        <v>0</v>
      </c>
      <c r="I122" s="983">
        <f>+Interest!S444</f>
        <v>16016.072306565635</v>
      </c>
      <c r="J122" s="62"/>
      <c r="K122" s="938"/>
    </row>
    <row r="123" spans="1:16" ht="13.5" thickBot="1">
      <c r="A123" s="353"/>
      <c r="B123" s="361" t="s">
        <v>79</v>
      </c>
      <c r="C123" s="625">
        <f>+C122</f>
        <v>0</v>
      </c>
      <c r="D123" s="625">
        <f t="shared" ref="D123:I123" si="28">+D122</f>
        <v>0</v>
      </c>
      <c r="E123" s="625"/>
      <c r="F123" s="625">
        <f t="shared" si="28"/>
        <v>0</v>
      </c>
      <c r="G123" s="625">
        <f t="shared" si="28"/>
        <v>7500</v>
      </c>
      <c r="H123" s="42">
        <f t="shared" si="28"/>
        <v>0</v>
      </c>
      <c r="I123" s="984">
        <f t="shared" si="28"/>
        <v>16016.072306565635</v>
      </c>
      <c r="J123" s="626"/>
      <c r="K123" s="363"/>
      <c r="L123" s="2"/>
      <c r="M123" s="24"/>
      <c r="O123" s="5"/>
      <c r="P123" s="5"/>
    </row>
    <row r="124" spans="1:16" ht="13.5" thickTop="1">
      <c r="B124" s="361"/>
      <c r="C124" s="40"/>
      <c r="D124" s="40"/>
      <c r="E124" s="40"/>
      <c r="F124" s="352"/>
      <c r="G124" s="40"/>
      <c r="H124" s="354"/>
      <c r="J124" s="62"/>
      <c r="K124" s="62"/>
      <c r="L124" s="2"/>
      <c r="M124" s="24"/>
      <c r="O124" s="5"/>
      <c r="P124" s="5"/>
    </row>
    <row r="125" spans="1:16" ht="15.75" thickBot="1">
      <c r="B125" s="343" t="s">
        <v>618</v>
      </c>
      <c r="C125" s="101">
        <f>+C120-C123</f>
        <v>15574.38</v>
      </c>
      <c r="D125" s="43"/>
      <c r="E125" s="43"/>
      <c r="F125" s="444">
        <f>+F120-F123</f>
        <v>15688.009372758517</v>
      </c>
      <c r="G125" s="101">
        <f>+G120-G123</f>
        <v>7764</v>
      </c>
      <c r="I125" s="667">
        <f>+I120-I123</f>
        <v>0</v>
      </c>
      <c r="J125" s="62"/>
      <c r="K125" s="654"/>
    </row>
    <row r="126" spans="1:16" ht="15.75" thickTop="1"/>
  </sheetData>
  <mergeCells count="3">
    <mergeCell ref="C2:J2"/>
    <mergeCell ref="C92:J92"/>
    <mergeCell ref="C114:I114"/>
  </mergeCells>
  <printOptions horizontalCentered="1"/>
  <pageMargins left="1" right="1" top="1" bottom="1" header="0.5" footer="0.5"/>
  <pageSetup scale="70" fitToHeight="0" orientation="landscape" r:id="rId1"/>
  <headerFooter scaleWithDoc="0" alignWithMargins="0">
    <oddHeader>&amp;C&amp;"Arial,Bold"&amp;14 Fern Ridge Library District  Proposed Budget 
FY 2024-2025</oddHeader>
    <oddFooter>&amp;R&amp;"Arial,Bold"&amp;8 Page &amp;P of &amp;N</oddFooter>
  </headerFooter>
  <ignoredErrors>
    <ignoredError sqref="H99 H83:H84 F13 H29 J29 F6 E19 E45 D16 F8" formula="1"/>
  </ignoredErrors>
  <drawing r:id="rId2"/>
  <legacyDrawing r:id="rId3"/>
  <controls>
    <mc:AlternateContent xmlns:mc="http://schemas.openxmlformats.org/markup-compatibility/2006">
      <mc:Choice Requires="x14">
        <control shapeId="1026" r:id="rId4" name="HEADER">
          <controlPr defaultSize="0" autoLine="0" r:id="rId5">
            <anchor moveWithCells="1">
              <from>
                <xdr:col>0</xdr:col>
                <xdr:colOff>0</xdr:colOff>
                <xdr:row>1</xdr:row>
                <xdr:rowOff>0</xdr:rowOff>
              </from>
              <to>
                <xdr:col>1</xdr:col>
                <xdr:colOff>323850</xdr:colOff>
                <xdr:row>2</xdr:row>
                <xdr:rowOff>19050</xdr:rowOff>
              </to>
            </anchor>
          </controlPr>
        </control>
      </mc:Choice>
      <mc:Fallback>
        <control shapeId="1026" r:id="rId4" name="HEADER"/>
      </mc:Fallback>
    </mc:AlternateContent>
    <mc:AlternateContent xmlns:mc="http://schemas.openxmlformats.org/markup-compatibility/2006">
      <mc:Choice Requires="x14">
        <control shapeId="1025" r:id="rId6" name="FILTER">
          <controlPr defaultSize="0" autoLine="0" r:id="rId7">
            <anchor moveWithCells="1">
              <from>
                <xdr:col>0</xdr:col>
                <xdr:colOff>0</xdr:colOff>
                <xdr:row>1</xdr:row>
                <xdr:rowOff>0</xdr:rowOff>
              </from>
              <to>
                <xdr:col>1</xdr:col>
                <xdr:colOff>323850</xdr:colOff>
                <xdr:row>2</xdr:row>
                <xdr:rowOff>19050</xdr:rowOff>
              </to>
            </anchor>
          </controlPr>
        </control>
      </mc:Choice>
      <mc:Fallback>
        <control shapeId="1025" r:id="rId6" name="FILTER"/>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M48"/>
  <sheetViews>
    <sheetView workbookViewId="0">
      <selection activeCell="A24" sqref="A24"/>
    </sheetView>
  </sheetViews>
  <sheetFormatPr defaultColWidth="8.88671875" defaultRowHeight="12.75"/>
  <cols>
    <col min="1" max="1" width="28.21875" style="2" customWidth="1"/>
    <col min="2" max="2" width="11.88671875" style="2" customWidth="1"/>
    <col min="3" max="3" width="11.5546875" style="2" customWidth="1"/>
    <col min="4" max="4" width="12.6640625" style="2" customWidth="1"/>
    <col min="5" max="5" width="12.109375" style="2" customWidth="1"/>
    <col min="6" max="6" width="3.5546875" style="2" customWidth="1"/>
    <col min="7" max="8" width="10.21875" style="2" bestFit="1" customWidth="1"/>
    <col min="9" max="9" width="10.44140625" style="2" bestFit="1" customWidth="1"/>
    <col min="10" max="11" width="11.21875" style="2" customWidth="1"/>
    <col min="12" max="12" width="10.33203125" style="2" bestFit="1" customWidth="1"/>
    <col min="13" max="16384" width="8.88671875" style="2"/>
  </cols>
  <sheetData>
    <row r="1" spans="1:13" ht="31.5" customHeight="1" thickBot="1">
      <c r="A1" s="105" t="s">
        <v>222</v>
      </c>
      <c r="B1" s="104" t="s">
        <v>380</v>
      </c>
      <c r="C1" s="51" t="str">
        <f>+'YE Projections'!F3</f>
        <v>6/30/2024 Projection</v>
      </c>
      <c r="D1" s="104" t="str">
        <f>+'YE Projections'!G3</f>
        <v>FY 23-24 Budget</v>
      </c>
      <c r="E1" s="47" t="str">
        <f>+'YE Projections'!I3</f>
        <v>FY 24-25 Proposed</v>
      </c>
      <c r="F1" s="530"/>
      <c r="G1" s="583" t="s">
        <v>547</v>
      </c>
      <c r="H1" s="311"/>
      <c r="I1" s="577" t="s">
        <v>503</v>
      </c>
      <c r="J1" s="311"/>
      <c r="K1" s="311"/>
      <c r="L1" s="578"/>
    </row>
    <row r="2" spans="1:13">
      <c r="A2" s="2" t="s">
        <v>2</v>
      </c>
      <c r="B2" s="5">
        <f>+'YE Projections'!C5</f>
        <v>993915</v>
      </c>
      <c r="C2" s="5">
        <f t="shared" ref="C2:C14" si="0">+B2</f>
        <v>993915</v>
      </c>
      <c r="D2" s="40">
        <f>+'YE Projections'!G5</f>
        <v>1031894</v>
      </c>
      <c r="E2" s="576">
        <f>ROUND(+'YE Projections'!F90,0)</f>
        <v>850984</v>
      </c>
      <c r="F2" s="5"/>
      <c r="G2" s="584" t="s">
        <v>550</v>
      </c>
      <c r="H2" s="585" t="s">
        <v>551</v>
      </c>
      <c r="I2" s="585" t="s">
        <v>552</v>
      </c>
      <c r="J2" s="585" t="s">
        <v>553</v>
      </c>
      <c r="K2" s="585" t="s">
        <v>586</v>
      </c>
      <c r="L2" s="586" t="s">
        <v>587</v>
      </c>
    </row>
    <row r="3" spans="1:13">
      <c r="A3" s="2" t="s">
        <v>4</v>
      </c>
      <c r="B3" s="5">
        <f>+'YE Projections'!C6</f>
        <v>806197.3</v>
      </c>
      <c r="C3" s="5">
        <f t="shared" si="0"/>
        <v>806197.3</v>
      </c>
      <c r="D3" s="40">
        <f>+'YE Projections'!G6</f>
        <v>800000</v>
      </c>
      <c r="E3" s="576">
        <f>+'Tax revenue'!F26</f>
        <v>860000</v>
      </c>
      <c r="F3" s="5"/>
      <c r="G3" s="579">
        <v>665460.86</v>
      </c>
      <c r="H3" s="575">
        <v>694053.92</v>
      </c>
      <c r="I3" s="575">
        <v>724803.56</v>
      </c>
      <c r="J3" s="575">
        <v>757518.74</v>
      </c>
      <c r="K3" s="575">
        <v>755231.86</v>
      </c>
      <c r="L3" s="580">
        <f t="shared" ref="L3:L14" si="1">AVERAGE(G3:K3)</f>
        <v>719413.78799999994</v>
      </c>
    </row>
    <row r="4" spans="1:13">
      <c r="A4" s="2" t="s">
        <v>5</v>
      </c>
      <c r="B4" s="5">
        <f>+'YE Projections'!C7</f>
        <v>7457.37</v>
      </c>
      <c r="C4" s="5">
        <f t="shared" si="0"/>
        <v>7457.37</v>
      </c>
      <c r="D4" s="40">
        <f>+'YE Projections'!G7</f>
        <v>12000</v>
      </c>
      <c r="E4" s="1034">
        <v>12000</v>
      </c>
      <c r="F4" s="290"/>
      <c r="G4" s="579">
        <v>10586.96</v>
      </c>
      <c r="H4" s="575">
        <v>10866.46</v>
      </c>
      <c r="I4" s="575">
        <v>10080.75</v>
      </c>
      <c r="J4" s="575">
        <v>10258.56</v>
      </c>
      <c r="K4" s="575">
        <v>52051.13</v>
      </c>
      <c r="L4" s="580">
        <f t="shared" si="1"/>
        <v>18768.771999999997</v>
      </c>
    </row>
    <row r="5" spans="1:13">
      <c r="A5" s="2" t="s">
        <v>215</v>
      </c>
      <c r="B5" s="5">
        <f>+'YE Projections'!C8</f>
        <v>34285.769999999997</v>
      </c>
      <c r="C5" s="5">
        <f t="shared" si="0"/>
        <v>34285.769999999997</v>
      </c>
      <c r="D5" s="40">
        <f>+'YE Projections'!G8</f>
        <v>24544</v>
      </c>
      <c r="E5" s="576">
        <f>ROUND(+Interest!D445,0)</f>
        <v>24963</v>
      </c>
      <c r="F5" s="291"/>
      <c r="G5" s="579">
        <v>25290.38</v>
      </c>
      <c r="H5" s="575">
        <v>26278.12</v>
      </c>
      <c r="I5" s="575">
        <v>11123.12</v>
      </c>
      <c r="J5" s="575">
        <v>9284.42</v>
      </c>
      <c r="K5" s="575">
        <v>28581.08</v>
      </c>
      <c r="L5" s="580">
        <f t="shared" si="1"/>
        <v>20111.424000000003</v>
      </c>
    </row>
    <row r="6" spans="1:13">
      <c r="A6" s="2" t="s">
        <v>7</v>
      </c>
      <c r="B6" s="5">
        <f>+'YE Projections'!C9</f>
        <v>798.06</v>
      </c>
      <c r="C6" s="5">
        <f t="shared" si="0"/>
        <v>798.06</v>
      </c>
      <c r="D6" s="40">
        <f>+'YE Projections'!G9</f>
        <v>950</v>
      </c>
      <c r="E6" s="1034">
        <v>750</v>
      </c>
      <c r="F6" s="290"/>
      <c r="G6" s="579">
        <v>1060.6300000000001</v>
      </c>
      <c r="H6" s="575">
        <v>1242.42</v>
      </c>
      <c r="I6" s="575">
        <v>1600.85</v>
      </c>
      <c r="J6" s="575">
        <v>1444.79</v>
      </c>
      <c r="K6" s="575">
        <v>1208.3399999999999</v>
      </c>
      <c r="L6" s="580">
        <f t="shared" si="1"/>
        <v>1311.4060000000002</v>
      </c>
    </row>
    <row r="7" spans="1:13">
      <c r="A7" s="2" t="s">
        <v>216</v>
      </c>
      <c r="B7" s="5">
        <f>+'YE Projections'!C10</f>
        <v>0</v>
      </c>
      <c r="C7" s="5">
        <f t="shared" si="0"/>
        <v>0</v>
      </c>
      <c r="D7" s="40">
        <f>+'YE Projections'!G10</f>
        <v>20</v>
      </c>
      <c r="E7" s="1034">
        <v>0</v>
      </c>
      <c r="F7" s="290"/>
      <c r="G7" s="579">
        <v>491.5</v>
      </c>
      <c r="H7" s="575">
        <v>423.02</v>
      </c>
      <c r="I7" s="575">
        <v>86.82</v>
      </c>
      <c r="J7" s="575">
        <v>119.2</v>
      </c>
      <c r="K7" s="575">
        <v>0</v>
      </c>
      <c r="L7" s="580">
        <f t="shared" si="1"/>
        <v>224.108</v>
      </c>
    </row>
    <row r="8" spans="1:13">
      <c r="A8" s="2" t="s">
        <v>9</v>
      </c>
      <c r="B8" s="5">
        <f>+'YE Projections'!C11</f>
        <v>3530</v>
      </c>
      <c r="C8" s="5">
        <f t="shared" si="0"/>
        <v>3530</v>
      </c>
      <c r="D8" s="40">
        <f>+'YE Projections'!G11</f>
        <v>1000</v>
      </c>
      <c r="E8" s="1034">
        <v>2000</v>
      </c>
      <c r="F8" s="40"/>
      <c r="G8" s="579">
        <v>3241</v>
      </c>
      <c r="H8" s="575">
        <v>3170</v>
      </c>
      <c r="I8" s="575">
        <v>1280</v>
      </c>
      <c r="J8" s="575">
        <v>3905</v>
      </c>
      <c r="K8" s="575">
        <v>3665</v>
      </c>
      <c r="L8" s="580">
        <f t="shared" si="1"/>
        <v>3052.2</v>
      </c>
    </row>
    <row r="9" spans="1:13">
      <c r="A9" s="2" t="s">
        <v>10</v>
      </c>
      <c r="B9" s="5">
        <f>+'YE Projections'!C12</f>
        <v>71199.81</v>
      </c>
      <c r="C9" s="5">
        <f t="shared" si="0"/>
        <v>71199.81</v>
      </c>
      <c r="D9" s="40">
        <f>+'YE Projections'!G12</f>
        <v>0</v>
      </c>
      <c r="E9" s="576">
        <v>0</v>
      </c>
      <c r="F9" s="5"/>
      <c r="G9" s="579">
        <v>146850.51</v>
      </c>
      <c r="H9" s="575">
        <v>114793.92</v>
      </c>
      <c r="I9" s="575">
        <v>148048.82</v>
      </c>
      <c r="J9" s="575">
        <v>66608.67</v>
      </c>
      <c r="K9" s="575">
        <v>123211.26</v>
      </c>
      <c r="L9" s="580">
        <f t="shared" si="1"/>
        <v>119902.63599999998</v>
      </c>
      <c r="M9" s="2" t="s">
        <v>623</v>
      </c>
    </row>
    <row r="10" spans="1:13">
      <c r="A10" s="2" t="s">
        <v>11</v>
      </c>
      <c r="B10" s="5">
        <f>+'YE Projections'!C13</f>
        <v>655.45</v>
      </c>
      <c r="C10" s="5">
        <f t="shared" si="0"/>
        <v>655.45</v>
      </c>
      <c r="D10" s="40">
        <f>+'YE Projections'!G13</f>
        <v>310</v>
      </c>
      <c r="E10" s="576">
        <v>600</v>
      </c>
      <c r="F10" s="291"/>
      <c r="G10" s="579">
        <v>341.37</v>
      </c>
      <c r="H10" s="575">
        <v>378.9</v>
      </c>
      <c r="I10" s="575">
        <v>391.58</v>
      </c>
      <c r="J10" s="575">
        <v>385.19</v>
      </c>
      <c r="K10" s="575">
        <v>312.64</v>
      </c>
      <c r="L10" s="580">
        <f t="shared" si="1"/>
        <v>361.93599999999998</v>
      </c>
    </row>
    <row r="11" spans="1:13">
      <c r="A11" s="2" t="s">
        <v>12</v>
      </c>
      <c r="B11" s="5">
        <f>+'YE Projections'!C14</f>
        <v>2911.17</v>
      </c>
      <c r="C11" s="5">
        <f t="shared" si="0"/>
        <v>2911.17</v>
      </c>
      <c r="D11" s="40">
        <f>+'YE Projections'!G14</f>
        <v>250</v>
      </c>
      <c r="E11" s="1034">
        <v>1000</v>
      </c>
      <c r="F11" s="40"/>
      <c r="G11" s="579">
        <v>12860.7</v>
      </c>
      <c r="H11" s="575">
        <v>8252.56</v>
      </c>
      <c r="I11" s="575">
        <v>2204.79</v>
      </c>
      <c r="J11" s="575">
        <v>2308.5700000000002</v>
      </c>
      <c r="K11" s="575">
        <v>3448.24</v>
      </c>
      <c r="L11" s="580">
        <f t="shared" si="1"/>
        <v>5814.9719999999998</v>
      </c>
    </row>
    <row r="12" spans="1:13">
      <c r="A12" s="2" t="s">
        <v>13</v>
      </c>
      <c r="B12" s="5">
        <f>+'YE Projections'!C15</f>
        <v>1343.01</v>
      </c>
      <c r="C12" s="5">
        <f t="shared" si="0"/>
        <v>1343.01</v>
      </c>
      <c r="D12" s="40">
        <f>+'YE Projections'!G15</f>
        <v>0</v>
      </c>
      <c r="E12" s="576">
        <v>0</v>
      </c>
      <c r="F12" s="5"/>
      <c r="G12" s="579">
        <v>3515.81</v>
      </c>
      <c r="H12" s="575">
        <v>13323.02</v>
      </c>
      <c r="I12" s="575">
        <v>12570</v>
      </c>
      <c r="J12" s="575">
        <v>2200</v>
      </c>
      <c r="K12" s="575">
        <v>673.73</v>
      </c>
      <c r="L12" s="580">
        <f t="shared" si="1"/>
        <v>6456.5120000000006</v>
      </c>
    </row>
    <row r="13" spans="1:13">
      <c r="A13" s="2" t="s">
        <v>14</v>
      </c>
      <c r="B13" s="5">
        <f>+'YE Projections'!C16</f>
        <v>2355</v>
      </c>
      <c r="C13" s="5">
        <f t="shared" si="0"/>
        <v>2355</v>
      </c>
      <c r="D13" s="40">
        <f>+'YE Projections'!G16</f>
        <v>2300</v>
      </c>
      <c r="E13" s="576">
        <v>2360</v>
      </c>
      <c r="F13" s="5"/>
      <c r="G13" s="579">
        <v>16870</v>
      </c>
      <c r="H13" s="575">
        <v>20000</v>
      </c>
      <c r="I13" s="575">
        <v>1992</v>
      </c>
      <c r="J13" s="575">
        <v>23633.38</v>
      </c>
      <c r="K13" s="575">
        <v>2297</v>
      </c>
      <c r="L13" s="580">
        <f t="shared" si="1"/>
        <v>12958.476000000001</v>
      </c>
    </row>
    <row r="14" spans="1:13">
      <c r="A14" s="2" t="s">
        <v>531</v>
      </c>
      <c r="B14" s="5">
        <f>+'YE Projections'!C17</f>
        <v>461.22</v>
      </c>
      <c r="C14" s="5">
        <f t="shared" si="0"/>
        <v>461.22</v>
      </c>
      <c r="D14" s="40">
        <f>+'YE Projections'!G17</f>
        <v>0</v>
      </c>
      <c r="E14" s="576">
        <v>0</v>
      </c>
      <c r="F14" s="5"/>
      <c r="G14" s="581">
        <v>340</v>
      </c>
      <c r="H14" s="582">
        <v>342</v>
      </c>
      <c r="I14" s="582">
        <v>1559.6</v>
      </c>
      <c r="J14" s="582">
        <v>2730.24</v>
      </c>
      <c r="K14" s="637">
        <v>2384.6999999999998</v>
      </c>
      <c r="L14" s="636">
        <f t="shared" si="1"/>
        <v>1471.308</v>
      </c>
    </row>
    <row r="15" spans="1:13">
      <c r="B15" s="5"/>
      <c r="C15" s="5"/>
      <c r="D15" s="5"/>
      <c r="E15" s="576"/>
      <c r="F15" s="5"/>
      <c r="G15" s="576"/>
      <c r="H15" s="576"/>
      <c r="I15" s="576"/>
      <c r="J15" s="576"/>
      <c r="K15" s="576"/>
    </row>
    <row r="16" spans="1:13" ht="13.5" thickBot="1">
      <c r="A16" s="5">
        <f>SUM(B3:B15)</f>
        <v>931194.16</v>
      </c>
      <c r="B16" s="101">
        <f>SUM(B2:B15)</f>
        <v>1925109.1600000001</v>
      </c>
      <c r="C16" s="101">
        <f>SUM(C2:C15)</f>
        <v>1925109.1600000001</v>
      </c>
      <c r="D16" s="101">
        <f>SUM(D2:D15)</f>
        <v>1873268</v>
      </c>
      <c r="E16" s="1035">
        <f>SUM(E2:E15)</f>
        <v>1754657</v>
      </c>
      <c r="F16" s="43"/>
    </row>
    <row r="17" spans="1:12" ht="13.5" thickTop="1">
      <c r="B17" s="5"/>
      <c r="C17" s="5"/>
      <c r="D17" s="5"/>
      <c r="E17" s="1036"/>
    </row>
    <row r="18" spans="1:12">
      <c r="A18" s="942" t="s">
        <v>854</v>
      </c>
      <c r="B18" s="68"/>
      <c r="C18" s="68"/>
      <c r="D18" s="68"/>
      <c r="E18" s="1036"/>
      <c r="F18" s="68"/>
    </row>
    <row r="19" spans="1:12">
      <c r="A19" s="2" t="s">
        <v>3</v>
      </c>
      <c r="B19" s="41">
        <f>+'YE Projections'!C95</f>
        <v>911399</v>
      </c>
      <c r="C19" s="5">
        <f>+B19</f>
        <v>911399</v>
      </c>
      <c r="D19" s="40">
        <f>+'YE Projections'!G95</f>
        <v>910093</v>
      </c>
      <c r="E19" s="576">
        <f>+'YE Projections'!I95</f>
        <v>1263723</v>
      </c>
      <c r="F19" s="5"/>
    </row>
    <row r="20" spans="1:12">
      <c r="A20" s="2" t="s">
        <v>14</v>
      </c>
      <c r="B20" s="5">
        <v>0</v>
      </c>
      <c r="C20" s="5">
        <v>0</v>
      </c>
      <c r="D20" s="40">
        <v>0</v>
      </c>
      <c r="E20" s="576">
        <v>15000</v>
      </c>
      <c r="F20" s="5"/>
    </row>
    <row r="21" spans="1:12">
      <c r="A21" s="2" t="s">
        <v>219</v>
      </c>
      <c r="B21" s="5">
        <f>+'YE Projections'!C96</f>
        <v>50209.79</v>
      </c>
      <c r="C21" s="5">
        <f>+B21</f>
        <v>50209.79</v>
      </c>
      <c r="D21" s="5">
        <f>+'YE Projections'!G96</f>
        <v>31212</v>
      </c>
      <c r="E21" s="1034">
        <f>+Interest!K447</f>
        <v>67318</v>
      </c>
      <c r="F21" s="40"/>
      <c r="G21" s="576">
        <v>10453.58</v>
      </c>
      <c r="H21" s="576">
        <v>5807.64</v>
      </c>
      <c r="I21" s="576">
        <v>3495.4</v>
      </c>
      <c r="J21" s="576">
        <v>3710.28</v>
      </c>
      <c r="K21" s="576">
        <v>26035.54</v>
      </c>
      <c r="L21" s="575"/>
    </row>
    <row r="22" spans="1:12" ht="13.5" thickBot="1">
      <c r="B22" s="101">
        <f>SUM(B19:B21)</f>
        <v>961608.79</v>
      </c>
      <c r="C22" s="101">
        <f>SUM(C19:C21)</f>
        <v>961608.79</v>
      </c>
      <c r="D22" s="101">
        <f>SUM(D19:D21)</f>
        <v>941305</v>
      </c>
      <c r="E22" s="1035">
        <f>+E19+E21</f>
        <v>1331041</v>
      </c>
      <c r="F22" s="43"/>
    </row>
    <row r="23" spans="1:12" ht="13.5" thickTop="1">
      <c r="B23" s="68"/>
      <c r="C23" s="68"/>
      <c r="E23" s="68"/>
      <c r="F23" s="68"/>
      <c r="G23" s="565"/>
      <c r="H23" s="566"/>
      <c r="I23" s="566"/>
      <c r="J23" s="566"/>
      <c r="K23" s="566"/>
      <c r="L23" s="566"/>
    </row>
    <row r="24" spans="1:12">
      <c r="B24" s="68"/>
      <c r="C24" s="68"/>
      <c r="E24" s="68"/>
      <c r="F24" s="68"/>
      <c r="G24" s="565"/>
      <c r="H24" s="566"/>
      <c r="I24" s="566"/>
      <c r="J24" s="566"/>
      <c r="K24" s="566"/>
      <c r="L24" s="566"/>
    </row>
    <row r="25" spans="1:12">
      <c r="A25" s="25" t="s">
        <v>547</v>
      </c>
      <c r="B25" s="570"/>
      <c r="C25" s="570"/>
      <c r="D25" s="570"/>
      <c r="E25" s="570"/>
      <c r="F25" s="570"/>
      <c r="G25" s="565"/>
      <c r="H25" s="566"/>
      <c r="I25" s="566"/>
      <c r="J25" s="566"/>
      <c r="K25" s="566"/>
      <c r="L25" s="566"/>
    </row>
    <row r="26" spans="1:12">
      <c r="A26" s="367" t="s">
        <v>16</v>
      </c>
      <c r="B26" s="575"/>
      <c r="C26" s="575"/>
      <c r="D26" s="565" t="s">
        <v>945</v>
      </c>
      <c r="F26" s="575"/>
      <c r="G26" s="565"/>
      <c r="H26" s="566"/>
      <c r="I26" s="566"/>
      <c r="J26" s="566"/>
      <c r="K26" s="566"/>
      <c r="L26" s="566"/>
    </row>
    <row r="27" spans="1:12">
      <c r="A27" s="112" t="s">
        <v>505</v>
      </c>
      <c r="B27" s="575">
        <v>70000</v>
      </c>
      <c r="D27" s="2" t="s">
        <v>949</v>
      </c>
      <c r="G27" s="565"/>
      <c r="H27" s="566"/>
      <c r="I27" s="566"/>
      <c r="J27" s="566"/>
      <c r="K27" s="566"/>
      <c r="L27" s="566"/>
    </row>
    <row r="28" spans="1:12">
      <c r="A28" s="112" t="s">
        <v>506</v>
      </c>
      <c r="B28" s="575">
        <v>250000</v>
      </c>
      <c r="D28" s="2" t="s">
        <v>947</v>
      </c>
      <c r="G28" s="565"/>
      <c r="H28" s="566"/>
      <c r="I28" s="566"/>
      <c r="J28" s="566"/>
      <c r="K28" s="566"/>
      <c r="L28" s="566"/>
    </row>
    <row r="29" spans="1:12">
      <c r="A29" s="112" t="s">
        <v>507</v>
      </c>
      <c r="B29" s="575">
        <v>55000</v>
      </c>
      <c r="D29" s="2" t="s">
        <v>946</v>
      </c>
      <c r="G29" s="565"/>
      <c r="H29" s="566"/>
      <c r="I29" s="566"/>
      <c r="J29" s="566"/>
      <c r="K29" s="566"/>
      <c r="L29" s="566"/>
    </row>
    <row r="30" spans="1:12">
      <c r="A30" s="112" t="s">
        <v>508</v>
      </c>
      <c r="B30" s="575">
        <v>250000</v>
      </c>
      <c r="D30" s="2" t="s">
        <v>948</v>
      </c>
      <c r="G30" s="565"/>
      <c r="H30" s="566"/>
      <c r="I30" s="566"/>
      <c r="J30" s="566"/>
      <c r="K30" s="566"/>
      <c r="L30" s="566"/>
    </row>
    <row r="31" spans="1:12">
      <c r="A31" s="25" t="s">
        <v>509</v>
      </c>
      <c r="B31" s="576">
        <v>250000</v>
      </c>
      <c r="G31" s="565"/>
      <c r="H31" s="566"/>
      <c r="I31" s="566"/>
      <c r="J31" s="566"/>
      <c r="K31" s="566"/>
      <c r="L31" s="566"/>
    </row>
    <row r="32" spans="1:12">
      <c r="A32" s="44" t="s">
        <v>605</v>
      </c>
      <c r="B32" s="628">
        <v>300000</v>
      </c>
      <c r="G32" s="565"/>
      <c r="H32" s="566"/>
      <c r="I32" s="566"/>
      <c r="J32" s="566"/>
      <c r="K32" s="566"/>
      <c r="L32" s="566"/>
    </row>
    <row r="33" spans="1:12">
      <c r="A33" s="25" t="s">
        <v>1039</v>
      </c>
      <c r="B33" s="576">
        <f>+'YE Projections'!I98</f>
        <v>250000</v>
      </c>
      <c r="G33" s="565"/>
      <c r="H33" s="566"/>
      <c r="I33" s="566"/>
      <c r="J33" s="566"/>
      <c r="K33" s="566"/>
      <c r="L33" s="566"/>
    </row>
    <row r="34" spans="1:12">
      <c r="G34" s="565"/>
      <c r="H34" s="566"/>
      <c r="I34" s="566"/>
      <c r="J34" s="566"/>
      <c r="K34" s="566"/>
      <c r="L34" s="566"/>
    </row>
    <row r="35" spans="1:12">
      <c r="G35" s="565"/>
      <c r="H35" s="566"/>
      <c r="I35" s="566"/>
      <c r="J35" s="566"/>
      <c r="K35" s="566"/>
      <c r="L35" s="566"/>
    </row>
    <row r="36" spans="1:12">
      <c r="A36" s="2" t="s">
        <v>548</v>
      </c>
      <c r="G36" s="565"/>
      <c r="H36" s="567"/>
      <c r="I36" s="567"/>
      <c r="J36" s="567"/>
      <c r="K36" s="567"/>
      <c r="L36" s="566"/>
    </row>
    <row r="37" spans="1:12">
      <c r="A37" s="1" t="s">
        <v>549</v>
      </c>
      <c r="B37" s="1"/>
      <c r="C37" s="1"/>
      <c r="D37" s="1"/>
      <c r="G37" s="24"/>
    </row>
    <row r="38" spans="1:12">
      <c r="A38" s="1"/>
      <c r="B38" s="1"/>
      <c r="C38" s="1"/>
      <c r="D38" s="1"/>
      <c r="G38" s="24"/>
    </row>
    <row r="39" spans="1:12">
      <c r="A39" s="48" t="s">
        <v>530</v>
      </c>
      <c r="B39" s="1"/>
      <c r="C39" s="1"/>
      <c r="D39" s="1"/>
      <c r="G39" s="24"/>
    </row>
    <row r="40" spans="1:12">
      <c r="A40" s="48" t="s">
        <v>460</v>
      </c>
      <c r="B40" s="565"/>
      <c r="C40" s="565"/>
      <c r="D40" s="565"/>
      <c r="G40" s="24"/>
    </row>
    <row r="41" spans="1:12">
      <c r="A41" s="106" t="s">
        <v>662</v>
      </c>
      <c r="C41" s="565"/>
      <c r="D41" s="565"/>
      <c r="G41" s="24"/>
    </row>
    <row r="42" spans="1:12">
      <c r="A42" s="5" t="s">
        <v>663</v>
      </c>
      <c r="C42" s="565"/>
      <c r="D42" s="565"/>
      <c r="G42" s="24"/>
    </row>
    <row r="43" spans="1:12">
      <c r="A43" s="68" t="s">
        <v>664</v>
      </c>
      <c r="C43" s="565"/>
      <c r="D43" s="565"/>
      <c r="G43" s="24"/>
    </row>
    <row r="44" spans="1:12">
      <c r="A44" s="565" t="s">
        <v>665</v>
      </c>
      <c r="C44" s="565"/>
      <c r="D44" s="565"/>
    </row>
    <row r="45" spans="1:12">
      <c r="A45" s="2" t="s">
        <v>660</v>
      </c>
      <c r="B45" s="565"/>
      <c r="C45" s="565"/>
      <c r="D45" s="565"/>
    </row>
    <row r="46" spans="1:12">
      <c r="A46" s="2" t="s">
        <v>661</v>
      </c>
      <c r="B46" s="565"/>
      <c r="C46" s="565"/>
      <c r="D46" s="565"/>
    </row>
    <row r="47" spans="1:12">
      <c r="B47" s="565"/>
      <c r="C47" s="565"/>
      <c r="D47" s="565"/>
    </row>
    <row r="48" spans="1:12">
      <c r="B48" s="565"/>
      <c r="C48" s="565"/>
      <c r="D48" s="565"/>
    </row>
  </sheetData>
  <printOptions horizontalCentered="1" verticalCentered="1"/>
  <pageMargins left="0.25" right="0.25" top="0.75" bottom="0.75" header="0.3" footer="0.3"/>
  <pageSetup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T474"/>
  <sheetViews>
    <sheetView workbookViewId="0">
      <pane ySplit="4" topLeftCell="A435" activePane="bottomLeft" state="frozen"/>
      <selection activeCell="Q20" sqref="P20:Q20"/>
      <selection pane="bottomLeft" activeCell="K467" sqref="K467"/>
    </sheetView>
  </sheetViews>
  <sheetFormatPr defaultRowHeight="11.25"/>
  <cols>
    <col min="1" max="1" width="14.109375" style="532" customWidth="1"/>
    <col min="2" max="2" width="10.6640625" style="532" bestFit="1" customWidth="1"/>
    <col min="3" max="3" width="9.44140625" style="532" customWidth="1"/>
    <col min="4" max="4" width="9.33203125" style="532" bestFit="1" customWidth="1"/>
    <col min="5" max="5" width="10.21875" style="532" bestFit="1" customWidth="1"/>
    <col min="6" max="6" width="11.5546875" style="532" bestFit="1" customWidth="1"/>
    <col min="7" max="7" width="2.33203125" style="532" customWidth="1"/>
    <col min="8" max="8" width="12.5546875" style="532" bestFit="1" customWidth="1"/>
    <col min="9" max="9" width="12.5546875" style="532" customWidth="1"/>
    <col min="10" max="10" width="9.44140625" style="532" customWidth="1"/>
    <col min="11" max="12" width="8.33203125" style="532" bestFit="1" customWidth="1"/>
    <col min="13" max="13" width="9.33203125" style="532" bestFit="1" customWidth="1"/>
    <col min="14" max="14" width="11.88671875" style="532" customWidth="1"/>
    <col min="15" max="15" width="14.88671875" style="532" customWidth="1"/>
    <col min="16" max="16" width="7.6640625" style="532" bestFit="1" customWidth="1"/>
    <col min="17" max="17" width="8.44140625" style="532" customWidth="1"/>
    <col min="18" max="18" width="8.21875" style="532" customWidth="1"/>
    <col min="19" max="20" width="7.6640625" style="532" bestFit="1" customWidth="1"/>
    <col min="21" max="16384" width="8.88671875" style="532"/>
  </cols>
  <sheetData>
    <row r="1" spans="1:20" ht="12" thickBot="1">
      <c r="A1" s="532" t="s">
        <v>634</v>
      </c>
      <c r="J1" s="691" t="s">
        <v>751</v>
      </c>
      <c r="K1" s="683">
        <v>4.3499999999999997E-2</v>
      </c>
    </row>
    <row r="2" spans="1:20">
      <c r="O2" s="668" t="s">
        <v>746</v>
      </c>
      <c r="P2" s="668"/>
      <c r="Q2" s="668"/>
      <c r="R2" s="668"/>
      <c r="S2" s="668"/>
      <c r="T2" s="669"/>
    </row>
    <row r="3" spans="1:20" ht="22.5">
      <c r="A3" s="532" t="s">
        <v>157</v>
      </c>
      <c r="C3" s="684" t="s">
        <v>539</v>
      </c>
      <c r="E3" s="684" t="s">
        <v>538</v>
      </c>
      <c r="H3" s="532" t="s">
        <v>158</v>
      </c>
      <c r="O3" s="670" t="s">
        <v>534</v>
      </c>
      <c r="P3" s="670" t="s">
        <v>535</v>
      </c>
      <c r="Q3" s="670" t="s">
        <v>537</v>
      </c>
      <c r="R3" s="670" t="s">
        <v>580</v>
      </c>
      <c r="S3" s="670" t="s">
        <v>747</v>
      </c>
      <c r="T3" s="671" t="s">
        <v>536</v>
      </c>
    </row>
    <row r="4" spans="1:20">
      <c r="A4" s="670" t="s">
        <v>534</v>
      </c>
      <c r="B4" s="670" t="s">
        <v>535</v>
      </c>
      <c r="C4" s="670" t="s">
        <v>537</v>
      </c>
      <c r="D4" s="670" t="s">
        <v>753</v>
      </c>
      <c r="E4" s="670" t="s">
        <v>633</v>
      </c>
      <c r="F4" s="670" t="s">
        <v>536</v>
      </c>
      <c r="H4" s="670" t="s">
        <v>534</v>
      </c>
      <c r="I4" s="670" t="s">
        <v>535</v>
      </c>
      <c r="J4" s="670" t="s">
        <v>537</v>
      </c>
      <c r="K4" s="670" t="s">
        <v>753</v>
      </c>
      <c r="L4" s="670" t="s">
        <v>633</v>
      </c>
      <c r="M4" s="670" t="s">
        <v>536</v>
      </c>
      <c r="N4" s="532" t="s">
        <v>752</v>
      </c>
      <c r="O4" s="672" t="s">
        <v>748</v>
      </c>
      <c r="P4" s="673"/>
      <c r="Q4" s="673"/>
      <c r="R4" s="673"/>
      <c r="S4" s="673"/>
      <c r="T4" s="673">
        <v>0</v>
      </c>
    </row>
    <row r="5" spans="1:20">
      <c r="A5" s="685" t="s">
        <v>744</v>
      </c>
      <c r="B5" s="679">
        <v>989996.01</v>
      </c>
      <c r="C5" s="679">
        <f>430.14+69640.58</f>
        <v>70070.720000000001</v>
      </c>
      <c r="D5" s="679">
        <v>2215.2800000000002</v>
      </c>
      <c r="E5" s="678">
        <f>45000+30000+300000+45000+0.05</f>
        <v>420000.05</v>
      </c>
      <c r="F5" s="678">
        <f>+B5+C5+D5-E5</f>
        <v>642281.96</v>
      </c>
      <c r="G5" s="690"/>
      <c r="H5" s="685" t="s">
        <v>744</v>
      </c>
      <c r="I5" s="679">
        <v>925709.72</v>
      </c>
      <c r="J5" s="679">
        <v>300000</v>
      </c>
      <c r="K5" s="679">
        <v>4207.62</v>
      </c>
      <c r="L5" s="678"/>
      <c r="M5" s="678">
        <v>1229917.3400000001</v>
      </c>
      <c r="N5" s="690">
        <f>+M5-T5</f>
        <v>1214899.02</v>
      </c>
      <c r="O5" s="674" t="s">
        <v>749</v>
      </c>
      <c r="P5" s="675">
        <v>15000</v>
      </c>
      <c r="Q5" s="675"/>
      <c r="R5" s="675">
        <v>18.32</v>
      </c>
      <c r="S5" s="675"/>
      <c r="T5" s="676">
        <f>+P5+Q5+R5-S5</f>
        <v>15018.32</v>
      </c>
    </row>
    <row r="6" spans="1:20">
      <c r="A6" s="677" t="s">
        <v>745</v>
      </c>
      <c r="B6" s="678">
        <f>+F5</f>
        <v>642281.96</v>
      </c>
      <c r="C6" s="678">
        <v>1797.1</v>
      </c>
      <c r="D6" s="679">
        <v>2412.98</v>
      </c>
      <c r="E6" s="678">
        <v>0.15</v>
      </c>
      <c r="F6" s="678">
        <f t="shared" ref="F6:F39" si="0">+B6+C6+D6-E6</f>
        <v>646491.8899999999</v>
      </c>
      <c r="H6" s="677" t="s">
        <v>745</v>
      </c>
      <c r="I6" s="678">
        <v>1229917.3400000001</v>
      </c>
      <c r="J6" s="678"/>
      <c r="K6" s="679">
        <v>4613.03</v>
      </c>
      <c r="L6" s="678"/>
      <c r="M6" s="678">
        <v>1234530.3700000001</v>
      </c>
      <c r="N6" s="690">
        <f t="shared" ref="N6:N14" si="1">+M6-T6</f>
        <v>1219455.83</v>
      </c>
      <c r="O6" s="677" t="s">
        <v>745</v>
      </c>
      <c r="P6" s="678">
        <f>+T5</f>
        <v>15018.32</v>
      </c>
      <c r="Q6" s="678"/>
      <c r="R6" s="678">
        <v>56.22</v>
      </c>
      <c r="S6" s="679"/>
      <c r="T6" s="680">
        <f t="shared" ref="T6:T39" si="2">+P6+Q6+R6-S6</f>
        <v>15074.539999999999</v>
      </c>
    </row>
    <row r="7" spans="1:20">
      <c r="A7" s="674" t="s">
        <v>739</v>
      </c>
      <c r="B7" s="678">
        <f t="shared" ref="B7:B40" si="3">+F6</f>
        <v>646491.8899999999</v>
      </c>
      <c r="C7" s="678">
        <v>1115.8599999999999</v>
      </c>
      <c r="D7" s="679">
        <v>2263.6</v>
      </c>
      <c r="E7" s="678">
        <f>92000+15000</f>
        <v>107000</v>
      </c>
      <c r="F7" s="678">
        <f t="shared" si="0"/>
        <v>542871.34999999986</v>
      </c>
      <c r="H7" s="674" t="s">
        <v>739</v>
      </c>
      <c r="I7" s="678">
        <v>1234530.3700000001</v>
      </c>
      <c r="J7" s="678">
        <v>15000</v>
      </c>
      <c r="K7" s="679">
        <v>4731.0200000000004</v>
      </c>
      <c r="L7" s="678"/>
      <c r="M7" s="678">
        <v>1254261.3900000001</v>
      </c>
      <c r="N7" s="690">
        <f t="shared" si="1"/>
        <v>1239129.3800000001</v>
      </c>
      <c r="O7" s="681" t="s">
        <v>739</v>
      </c>
      <c r="P7" s="678">
        <f t="shared" ref="P7:P40" si="4">+T6</f>
        <v>15074.539999999999</v>
      </c>
      <c r="Q7" s="678"/>
      <c r="R7" s="678">
        <v>57.47</v>
      </c>
      <c r="S7" s="678"/>
      <c r="T7" s="680">
        <f t="shared" si="2"/>
        <v>15132.009999999998</v>
      </c>
    </row>
    <row r="8" spans="1:20">
      <c r="A8" s="677" t="s">
        <v>740</v>
      </c>
      <c r="B8" s="678">
        <f t="shared" si="3"/>
        <v>542871.34999999986</v>
      </c>
      <c r="C8" s="678">
        <v>1033.49</v>
      </c>
      <c r="D8" s="679">
        <v>2213.7800000000002</v>
      </c>
      <c r="E8" s="678">
        <v>60000.15</v>
      </c>
      <c r="F8" s="678">
        <f t="shared" si="0"/>
        <v>486118.46999999986</v>
      </c>
      <c r="G8" s="690"/>
      <c r="H8" s="677" t="s">
        <v>740</v>
      </c>
      <c r="I8" s="678">
        <v>1254261.3900000001</v>
      </c>
      <c r="J8" s="678"/>
      <c r="K8" s="679">
        <v>5222.6000000000004</v>
      </c>
      <c r="L8" s="678"/>
      <c r="M8" s="678">
        <v>1259483.9900000002</v>
      </c>
      <c r="N8" s="690">
        <f t="shared" si="1"/>
        <v>1244288.8800000001</v>
      </c>
      <c r="O8" s="681" t="s">
        <v>740</v>
      </c>
      <c r="P8" s="678">
        <f t="shared" si="4"/>
        <v>15132.009999999998</v>
      </c>
      <c r="Q8" s="678"/>
      <c r="R8" s="678">
        <v>63.1</v>
      </c>
      <c r="S8" s="678"/>
      <c r="T8" s="680">
        <f t="shared" si="2"/>
        <v>15195.109999999999</v>
      </c>
    </row>
    <row r="9" spans="1:20">
      <c r="A9" s="674" t="s">
        <v>741</v>
      </c>
      <c r="B9" s="678">
        <f t="shared" si="3"/>
        <v>486118.46999999986</v>
      </c>
      <c r="C9" s="678">
        <f>108496.77+55775.76+367712.13+209607.81</f>
        <v>741592.47</v>
      </c>
      <c r="D9" s="678">
        <v>2488.1999999999998</v>
      </c>
      <c r="E9" s="678">
        <v>60000.1</v>
      </c>
      <c r="F9" s="678">
        <f t="shared" si="0"/>
        <v>1170199.0399999998</v>
      </c>
      <c r="G9" s="690"/>
      <c r="H9" s="674" t="s">
        <v>741</v>
      </c>
      <c r="I9" s="678">
        <v>1259483.9900000002</v>
      </c>
      <c r="J9" s="678"/>
      <c r="K9" s="678">
        <v>5175.96</v>
      </c>
      <c r="L9" s="678"/>
      <c r="M9" s="678">
        <v>1264659.9500000002</v>
      </c>
      <c r="N9" s="690">
        <f t="shared" si="1"/>
        <v>1249403.5200000003</v>
      </c>
      <c r="O9" s="681" t="s">
        <v>741</v>
      </c>
      <c r="P9" s="678">
        <f t="shared" si="4"/>
        <v>15195.109999999999</v>
      </c>
      <c r="Q9" s="678"/>
      <c r="R9" s="678">
        <v>61.32</v>
      </c>
      <c r="S9" s="678"/>
      <c r="T9" s="680">
        <f t="shared" si="2"/>
        <v>15256.429999999998</v>
      </c>
    </row>
    <row r="10" spans="1:20">
      <c r="A10" s="677" t="s">
        <v>742</v>
      </c>
      <c r="B10" s="678">
        <f t="shared" si="3"/>
        <v>1170199.0399999998</v>
      </c>
      <c r="C10" s="678">
        <f>34771.08+4246.33+14785.46</f>
        <v>53802.87</v>
      </c>
      <c r="D10" s="678">
        <v>5022.99</v>
      </c>
      <c r="E10" s="678">
        <v>80000.2</v>
      </c>
      <c r="F10" s="678">
        <f t="shared" si="0"/>
        <v>1149024.7</v>
      </c>
      <c r="H10" s="677" t="s">
        <v>742</v>
      </c>
      <c r="I10" s="678">
        <v>1264659.9500000002</v>
      </c>
      <c r="J10" s="678"/>
      <c r="K10" s="678">
        <v>5331.99</v>
      </c>
      <c r="L10" s="678">
        <v>14785.46</v>
      </c>
      <c r="M10" s="678">
        <v>1255206.4800000002</v>
      </c>
      <c r="N10" s="690">
        <f t="shared" si="1"/>
        <v>1239886.4300000002</v>
      </c>
      <c r="O10" s="682" t="s">
        <v>742</v>
      </c>
      <c r="P10" s="678">
        <f t="shared" si="4"/>
        <v>15256.429999999998</v>
      </c>
      <c r="Q10" s="678"/>
      <c r="R10" s="678">
        <v>63.62</v>
      </c>
      <c r="S10" s="678"/>
      <c r="T10" s="680">
        <f t="shared" si="2"/>
        <v>15320.05</v>
      </c>
    </row>
    <row r="11" spans="1:20">
      <c r="A11" s="677" t="s">
        <v>743</v>
      </c>
      <c r="B11" s="678">
        <f t="shared" si="3"/>
        <v>1149024.7</v>
      </c>
      <c r="C11" s="678">
        <v>7517.6</v>
      </c>
      <c r="D11" s="678">
        <v>4735.67</v>
      </c>
      <c r="E11" s="678">
        <v>50000</v>
      </c>
      <c r="F11" s="678">
        <f t="shared" si="0"/>
        <v>1111277.97</v>
      </c>
      <c r="G11" s="690"/>
      <c r="H11" s="677" t="s">
        <v>743</v>
      </c>
      <c r="I11" s="678">
        <v>1255206.4800000002</v>
      </c>
      <c r="J11" s="678"/>
      <c r="K11" s="678">
        <v>5315.04</v>
      </c>
      <c r="L11" s="678"/>
      <c r="M11" s="678">
        <v>1260521.5200000003</v>
      </c>
      <c r="N11" s="690">
        <f t="shared" si="1"/>
        <v>1245136.2800000003</v>
      </c>
      <c r="O11" s="681" t="s">
        <v>743</v>
      </c>
      <c r="P11" s="678">
        <f t="shared" si="4"/>
        <v>15320.05</v>
      </c>
      <c r="Q11" s="678"/>
      <c r="R11" s="678">
        <v>65.19</v>
      </c>
      <c r="S11" s="678"/>
      <c r="T11" s="680">
        <f t="shared" si="2"/>
        <v>15385.24</v>
      </c>
    </row>
    <row r="12" spans="1:20">
      <c r="A12" s="677" t="s">
        <v>750</v>
      </c>
      <c r="B12" s="678">
        <f t="shared" si="3"/>
        <v>1111277.97</v>
      </c>
      <c r="C12" s="678">
        <v>5063.59</v>
      </c>
      <c r="D12" s="678">
        <v>4360.7700000000004</v>
      </c>
      <c r="E12" s="678">
        <v>70000.05</v>
      </c>
      <c r="F12" s="678">
        <f t="shared" si="0"/>
        <v>1050702.28</v>
      </c>
      <c r="G12" s="690"/>
      <c r="H12" s="677" t="s">
        <v>750</v>
      </c>
      <c r="I12" s="678">
        <f t="shared" ref="I12:I40" si="5">+M11</f>
        <v>1260521.5200000003</v>
      </c>
      <c r="J12" s="678"/>
      <c r="K12" s="678">
        <v>5193.62</v>
      </c>
      <c r="L12" s="678"/>
      <c r="M12" s="678">
        <f t="shared" ref="M12:M39" si="6">+I12+J12+K12-L12</f>
        <v>1265715.1400000004</v>
      </c>
      <c r="N12" s="690">
        <f t="shared" si="1"/>
        <v>1250268.6600000004</v>
      </c>
      <c r="O12" s="677" t="s">
        <v>750</v>
      </c>
      <c r="P12" s="678">
        <f t="shared" si="4"/>
        <v>15385.24</v>
      </c>
      <c r="Q12" s="678"/>
      <c r="R12" s="678">
        <v>61.24</v>
      </c>
      <c r="S12" s="678"/>
      <c r="T12" s="680">
        <f t="shared" si="2"/>
        <v>15446.48</v>
      </c>
    </row>
    <row r="13" spans="1:20">
      <c r="A13" s="681" t="s">
        <v>978</v>
      </c>
      <c r="B13" s="678">
        <f t="shared" si="3"/>
        <v>1050702.28</v>
      </c>
      <c r="C13" s="678">
        <v>16797.23</v>
      </c>
      <c r="D13" s="678">
        <v>4466.04</v>
      </c>
      <c r="E13" s="678">
        <v>70002.149999999994</v>
      </c>
      <c r="F13" s="678">
        <f t="shared" si="0"/>
        <v>1001963.4</v>
      </c>
      <c r="H13" s="681" t="s">
        <v>978</v>
      </c>
      <c r="I13" s="678">
        <v>1265715.1400000004</v>
      </c>
      <c r="J13" s="678"/>
      <c r="K13" s="678">
        <v>5574.68</v>
      </c>
      <c r="L13" s="678"/>
      <c r="M13" s="678">
        <v>1271289.8200000003</v>
      </c>
      <c r="N13" s="690">
        <f t="shared" si="1"/>
        <v>1255781.6000000003</v>
      </c>
      <c r="O13" s="681" t="s">
        <v>978</v>
      </c>
      <c r="P13" s="678">
        <v>15446.48</v>
      </c>
      <c r="Q13" s="678"/>
      <c r="R13" s="678">
        <v>61.74</v>
      </c>
      <c r="S13" s="678"/>
      <c r="T13" s="680">
        <v>15508.22</v>
      </c>
    </row>
    <row r="14" spans="1:20">
      <c r="A14" s="681" t="s">
        <v>1044</v>
      </c>
      <c r="B14" s="678">
        <f>+F13</f>
        <v>1001963.4</v>
      </c>
      <c r="C14" s="678">
        <v>3186.94</v>
      </c>
      <c r="D14" s="678">
        <v>4109.2299999999996</v>
      </c>
      <c r="E14" s="678">
        <v>40000.15</v>
      </c>
      <c r="F14" s="678">
        <f t="shared" si="0"/>
        <v>969259.41999999993</v>
      </c>
      <c r="H14" s="681" t="s">
        <v>1044</v>
      </c>
      <c r="I14" s="678">
        <f>+M13</f>
        <v>1271289.8200000003</v>
      </c>
      <c r="J14" s="678"/>
      <c r="K14" s="678">
        <v>5418.61</v>
      </c>
      <c r="L14" s="678"/>
      <c r="M14" s="678">
        <f t="shared" si="6"/>
        <v>1276708.4300000004</v>
      </c>
      <c r="N14" s="690">
        <f t="shared" si="1"/>
        <v>1261134.0500000005</v>
      </c>
      <c r="O14" s="681" t="s">
        <v>1044</v>
      </c>
      <c r="P14" s="678">
        <f>+T13</f>
        <v>15508.22</v>
      </c>
      <c r="Q14" s="678"/>
      <c r="R14" s="678">
        <v>66.16</v>
      </c>
      <c r="S14" s="678"/>
      <c r="T14" s="680">
        <f t="shared" si="2"/>
        <v>15574.38</v>
      </c>
    </row>
    <row r="15" spans="1:20">
      <c r="A15" s="681">
        <v>45413</v>
      </c>
      <c r="B15" s="678">
        <f t="shared" si="3"/>
        <v>969259.41999999993</v>
      </c>
      <c r="C15" s="678"/>
      <c r="D15" s="678">
        <f t="shared" ref="D15:D44" si="7">SUM(B15*$K$1)/365</f>
        <v>115.51447882191778</v>
      </c>
      <c r="E15" s="678"/>
      <c r="F15" s="678">
        <f t="shared" si="0"/>
        <v>969374.93447882181</v>
      </c>
      <c r="H15" s="681">
        <v>45413</v>
      </c>
      <c r="I15" s="678">
        <f t="shared" si="5"/>
        <v>1276708.4300000004</v>
      </c>
      <c r="J15" s="678"/>
      <c r="K15" s="678">
        <f t="shared" ref="K15:K43" si="8">SUM(I15*$K$1)/365</f>
        <v>152.15566220547947</v>
      </c>
      <c r="L15" s="678"/>
      <c r="M15" s="678">
        <f t="shared" si="6"/>
        <v>1276860.5856622059</v>
      </c>
      <c r="O15" s="681">
        <v>45413</v>
      </c>
      <c r="P15" s="678">
        <f t="shared" si="4"/>
        <v>15574.38</v>
      </c>
      <c r="Q15" s="678"/>
      <c r="R15" s="678">
        <f t="shared" ref="R15:R46" si="9">SUM(P15*$K$1)/365</f>
        <v>1.8561247397260272</v>
      </c>
      <c r="S15" s="678"/>
      <c r="T15" s="680">
        <f t="shared" si="2"/>
        <v>15576.236124739726</v>
      </c>
    </row>
    <row r="16" spans="1:20">
      <c r="A16" s="681">
        <v>45414</v>
      </c>
      <c r="B16" s="678">
        <f t="shared" si="3"/>
        <v>969374.93447882181</v>
      </c>
      <c r="C16" s="678"/>
      <c r="D16" s="678">
        <f t="shared" si="7"/>
        <v>115.52824561596917</v>
      </c>
      <c r="E16" s="678"/>
      <c r="F16" s="678">
        <f t="shared" si="0"/>
        <v>969490.46272443782</v>
      </c>
      <c r="H16" s="681">
        <v>45414</v>
      </c>
      <c r="I16" s="678">
        <f t="shared" si="5"/>
        <v>1276860.5856622059</v>
      </c>
      <c r="J16" s="678"/>
      <c r="K16" s="678">
        <f t="shared" si="8"/>
        <v>152.17379582549577</v>
      </c>
      <c r="L16" s="678"/>
      <c r="M16" s="678">
        <f t="shared" si="6"/>
        <v>1277012.7594580315</v>
      </c>
      <c r="O16" s="681">
        <v>45414</v>
      </c>
      <c r="P16" s="678">
        <f t="shared" si="4"/>
        <v>15576.236124739726</v>
      </c>
      <c r="Q16" s="678"/>
      <c r="R16" s="678">
        <f t="shared" si="9"/>
        <v>1.8563459491128165</v>
      </c>
      <c r="S16" s="678"/>
      <c r="T16" s="680">
        <f t="shared" si="2"/>
        <v>15578.092470688838</v>
      </c>
    </row>
    <row r="17" spans="1:20">
      <c r="A17" s="681">
        <v>45415</v>
      </c>
      <c r="B17" s="678">
        <f t="shared" si="3"/>
        <v>969490.46272443782</v>
      </c>
      <c r="C17" s="678"/>
      <c r="D17" s="678">
        <f t="shared" si="7"/>
        <v>115.54201405072067</v>
      </c>
      <c r="E17" s="678"/>
      <c r="F17" s="678">
        <f t="shared" si="0"/>
        <v>969606.00473848858</v>
      </c>
      <c r="H17" s="681">
        <v>45415</v>
      </c>
      <c r="I17" s="678">
        <f t="shared" si="5"/>
        <v>1277012.7594580315</v>
      </c>
      <c r="J17" s="678"/>
      <c r="K17" s="678">
        <f t="shared" si="8"/>
        <v>152.1919316066421</v>
      </c>
      <c r="L17" s="678"/>
      <c r="M17" s="678">
        <f t="shared" si="6"/>
        <v>1277164.9513896382</v>
      </c>
      <c r="O17" s="681">
        <v>45415</v>
      </c>
      <c r="P17" s="678">
        <f t="shared" si="4"/>
        <v>15578.092470688838</v>
      </c>
      <c r="Q17" s="678"/>
      <c r="R17" s="678">
        <f t="shared" si="9"/>
        <v>1.8565671848629162</v>
      </c>
      <c r="S17" s="678"/>
      <c r="T17" s="680">
        <f t="shared" si="2"/>
        <v>15579.949037873701</v>
      </c>
    </row>
    <row r="18" spans="1:20">
      <c r="A18" s="682">
        <v>45416</v>
      </c>
      <c r="B18" s="678">
        <f t="shared" si="3"/>
        <v>969606.00473848858</v>
      </c>
      <c r="C18" s="678"/>
      <c r="D18" s="678">
        <f t="shared" si="7"/>
        <v>115.55578412636781</v>
      </c>
      <c r="E18" s="678"/>
      <c r="F18" s="678">
        <f t="shared" si="0"/>
        <v>969721.56052261498</v>
      </c>
      <c r="H18" s="682">
        <v>45416</v>
      </c>
      <c r="I18" s="678">
        <f t="shared" si="5"/>
        <v>1277164.9513896382</v>
      </c>
      <c r="J18" s="678"/>
      <c r="K18" s="678">
        <f t="shared" si="8"/>
        <v>152.21006954917604</v>
      </c>
      <c r="L18" s="678"/>
      <c r="M18" s="678">
        <f t="shared" si="6"/>
        <v>1277317.1614591875</v>
      </c>
      <c r="O18" s="682">
        <v>45416</v>
      </c>
      <c r="P18" s="678">
        <f t="shared" si="4"/>
        <v>15579.949037873701</v>
      </c>
      <c r="Q18" s="678"/>
      <c r="R18" s="678">
        <f t="shared" si="9"/>
        <v>1.8567884469794684</v>
      </c>
      <c r="S18" s="678"/>
      <c r="T18" s="680">
        <f t="shared" si="2"/>
        <v>15581.80582632068</v>
      </c>
    </row>
    <row r="19" spans="1:20">
      <c r="A19" s="681">
        <v>45417</v>
      </c>
      <c r="B19" s="678">
        <f t="shared" si="3"/>
        <v>969721.56052261498</v>
      </c>
      <c r="C19" s="678"/>
      <c r="D19" s="678">
        <f t="shared" si="7"/>
        <v>115.56955584310616</v>
      </c>
      <c r="E19" s="678"/>
      <c r="F19" s="678">
        <f t="shared" si="0"/>
        <v>969837.13007845811</v>
      </c>
      <c r="H19" s="681">
        <v>45417</v>
      </c>
      <c r="I19" s="678">
        <f t="shared" si="5"/>
        <v>1277317.1614591875</v>
      </c>
      <c r="J19" s="678"/>
      <c r="K19" s="678">
        <f t="shared" si="8"/>
        <v>152.22820965335521</v>
      </c>
      <c r="L19" s="678"/>
      <c r="M19" s="678">
        <f t="shared" si="6"/>
        <v>1277469.3896688409</v>
      </c>
      <c r="O19" s="681">
        <v>45417</v>
      </c>
      <c r="P19" s="678">
        <f t="shared" si="4"/>
        <v>15581.80582632068</v>
      </c>
      <c r="Q19" s="678"/>
      <c r="R19" s="678">
        <f t="shared" si="9"/>
        <v>1.8570097354656152</v>
      </c>
      <c r="S19" s="678"/>
      <c r="T19" s="680">
        <f t="shared" si="2"/>
        <v>15583.662836056146</v>
      </c>
    </row>
    <row r="20" spans="1:20">
      <c r="A20" s="681">
        <v>45418</v>
      </c>
      <c r="B20" s="678">
        <f t="shared" si="3"/>
        <v>969837.13007845811</v>
      </c>
      <c r="C20" s="678"/>
      <c r="D20" s="678">
        <f t="shared" si="7"/>
        <v>115.58332920113129</v>
      </c>
      <c r="E20" s="678"/>
      <c r="F20" s="678">
        <f t="shared" si="0"/>
        <v>969952.7134076592</v>
      </c>
      <c r="H20" s="681">
        <v>45418</v>
      </c>
      <c r="I20" s="678">
        <f t="shared" si="5"/>
        <v>1277469.3896688409</v>
      </c>
      <c r="J20" s="678"/>
      <c r="K20" s="678">
        <f t="shared" si="8"/>
        <v>152.24635191943719</v>
      </c>
      <c r="L20" s="678"/>
      <c r="M20" s="678">
        <f t="shared" si="6"/>
        <v>1277621.6360207603</v>
      </c>
      <c r="O20" s="681">
        <v>45418</v>
      </c>
      <c r="P20" s="678">
        <f t="shared" si="4"/>
        <v>15583.662836056146</v>
      </c>
      <c r="Q20" s="678"/>
      <c r="R20" s="678">
        <f t="shared" si="9"/>
        <v>1.8572310503244995</v>
      </c>
      <c r="S20" s="678"/>
      <c r="T20" s="680">
        <f t="shared" si="2"/>
        <v>15585.52006710647</v>
      </c>
    </row>
    <row r="21" spans="1:20">
      <c r="A21" s="681">
        <v>45419</v>
      </c>
      <c r="B21" s="678">
        <f t="shared" si="3"/>
        <v>969952.7134076592</v>
      </c>
      <c r="C21" s="678"/>
      <c r="D21" s="678">
        <f t="shared" si="7"/>
        <v>115.59710420063884</v>
      </c>
      <c r="E21" s="678"/>
      <c r="F21" s="678">
        <f t="shared" si="0"/>
        <v>970068.31051185983</v>
      </c>
      <c r="H21" s="681">
        <v>45419</v>
      </c>
      <c r="I21" s="678">
        <f t="shared" si="5"/>
        <v>1277621.6360207603</v>
      </c>
      <c r="J21" s="678"/>
      <c r="K21" s="678">
        <f t="shared" si="8"/>
        <v>152.26449634767962</v>
      </c>
      <c r="L21" s="678"/>
      <c r="M21" s="678">
        <f t="shared" si="6"/>
        <v>1277773.9005171079</v>
      </c>
      <c r="O21" s="681">
        <v>45419</v>
      </c>
      <c r="P21" s="678">
        <f t="shared" si="4"/>
        <v>15585.52006710647</v>
      </c>
      <c r="Q21" s="678"/>
      <c r="R21" s="678">
        <f t="shared" si="9"/>
        <v>1.8574523915592642</v>
      </c>
      <c r="S21" s="678"/>
      <c r="T21" s="680">
        <f t="shared" si="2"/>
        <v>15587.37751949803</v>
      </c>
    </row>
    <row r="22" spans="1:20">
      <c r="A22" s="682">
        <v>45420</v>
      </c>
      <c r="B22" s="678">
        <f t="shared" si="3"/>
        <v>970068.31051185983</v>
      </c>
      <c r="C22" s="678"/>
      <c r="D22" s="678">
        <f t="shared" si="7"/>
        <v>115.61088084182438</v>
      </c>
      <c r="E22" s="678">
        <v>45000</v>
      </c>
      <c r="F22" s="678">
        <f t="shared" si="0"/>
        <v>925183.92139270168</v>
      </c>
      <c r="H22" s="682">
        <v>45420</v>
      </c>
      <c r="I22" s="678">
        <f t="shared" si="5"/>
        <v>1277773.9005171079</v>
      </c>
      <c r="J22" s="678"/>
      <c r="K22" s="678">
        <f t="shared" si="8"/>
        <v>152.28264293834025</v>
      </c>
      <c r="L22" s="678"/>
      <c r="M22" s="678">
        <f t="shared" si="6"/>
        <v>1277926.1831600463</v>
      </c>
      <c r="O22" s="682">
        <v>45420</v>
      </c>
      <c r="P22" s="678">
        <f t="shared" si="4"/>
        <v>15587.37751949803</v>
      </c>
      <c r="Q22" s="678"/>
      <c r="R22" s="678">
        <f t="shared" si="9"/>
        <v>1.8576737591730528</v>
      </c>
      <c r="S22" s="678"/>
      <c r="T22" s="680">
        <f t="shared" si="2"/>
        <v>15589.235193257204</v>
      </c>
    </row>
    <row r="23" spans="1:20">
      <c r="A23" s="681">
        <v>45421</v>
      </c>
      <c r="B23" s="678">
        <f t="shared" si="3"/>
        <v>925183.92139270168</v>
      </c>
      <c r="C23" s="678"/>
      <c r="D23" s="678">
        <f t="shared" si="7"/>
        <v>110.26164542625348</v>
      </c>
      <c r="E23" s="678"/>
      <c r="F23" s="678">
        <f t="shared" si="0"/>
        <v>925294.18303812796</v>
      </c>
      <c r="H23" s="681">
        <v>45421</v>
      </c>
      <c r="I23" s="678">
        <f t="shared" si="5"/>
        <v>1277926.1831600463</v>
      </c>
      <c r="J23" s="678"/>
      <c r="K23" s="678">
        <f t="shared" si="8"/>
        <v>152.30079169167675</v>
      </c>
      <c r="L23" s="678"/>
      <c r="M23" s="678">
        <f t="shared" si="6"/>
        <v>1278078.4839517381</v>
      </c>
      <c r="O23" s="681">
        <v>45421</v>
      </c>
      <c r="P23" s="678">
        <f t="shared" si="4"/>
        <v>15589.235193257204</v>
      </c>
      <c r="Q23" s="678"/>
      <c r="R23" s="678">
        <f t="shared" si="9"/>
        <v>1.8578951531690091</v>
      </c>
      <c r="S23" s="678"/>
      <c r="T23" s="680">
        <f t="shared" si="2"/>
        <v>15591.093088410373</v>
      </c>
    </row>
    <row r="24" spans="1:20">
      <c r="A24" s="681">
        <v>45422</v>
      </c>
      <c r="B24" s="678">
        <f t="shared" si="3"/>
        <v>925294.18303812796</v>
      </c>
      <c r="C24" s="678"/>
      <c r="D24" s="678">
        <f t="shared" si="7"/>
        <v>110.2747861976947</v>
      </c>
      <c r="E24" s="678"/>
      <c r="F24" s="678">
        <f t="shared" si="0"/>
        <v>925404.45782432565</v>
      </c>
      <c r="H24" s="681">
        <v>45422</v>
      </c>
      <c r="I24" s="678">
        <f t="shared" si="5"/>
        <v>1278078.4839517381</v>
      </c>
      <c r="J24" s="678"/>
      <c r="K24" s="678">
        <f t="shared" si="8"/>
        <v>152.31894260794687</v>
      </c>
      <c r="L24" s="678"/>
      <c r="M24" s="678">
        <f t="shared" si="6"/>
        <v>1278230.802894346</v>
      </c>
      <c r="O24" s="681">
        <v>45422</v>
      </c>
      <c r="P24" s="678">
        <f t="shared" si="4"/>
        <v>15591.093088410373</v>
      </c>
      <c r="Q24" s="678"/>
      <c r="R24" s="678">
        <f t="shared" si="9"/>
        <v>1.8581165735502772</v>
      </c>
      <c r="S24" s="678"/>
      <c r="T24" s="680">
        <f t="shared" si="2"/>
        <v>15592.951204983923</v>
      </c>
    </row>
    <row r="25" spans="1:20">
      <c r="A25" s="681">
        <v>45423</v>
      </c>
      <c r="B25" s="678">
        <f t="shared" si="3"/>
        <v>925404.45782432565</v>
      </c>
      <c r="C25" s="678"/>
      <c r="D25" s="678">
        <f t="shared" si="7"/>
        <v>110.28792853522785</v>
      </c>
      <c r="E25" s="678"/>
      <c r="F25" s="678">
        <f t="shared" si="0"/>
        <v>925514.74575286091</v>
      </c>
      <c r="H25" s="681">
        <v>45423</v>
      </c>
      <c r="I25" s="678">
        <f t="shared" si="5"/>
        <v>1278230.802894346</v>
      </c>
      <c r="J25" s="678"/>
      <c r="K25" s="678">
        <f t="shared" si="8"/>
        <v>152.33709568740832</v>
      </c>
      <c r="L25" s="678"/>
      <c r="M25" s="678">
        <f t="shared" si="6"/>
        <v>1278383.1399900333</v>
      </c>
      <c r="O25" s="681">
        <v>45423</v>
      </c>
      <c r="P25" s="678">
        <f t="shared" si="4"/>
        <v>15592.951204983923</v>
      </c>
      <c r="Q25" s="678"/>
      <c r="R25" s="678">
        <f t="shared" si="9"/>
        <v>1.8583380203200015</v>
      </c>
      <c r="S25" s="678"/>
      <c r="T25" s="680">
        <f t="shared" si="2"/>
        <v>15594.809543004243</v>
      </c>
    </row>
    <row r="26" spans="1:20">
      <c r="A26" s="681">
        <v>45424</v>
      </c>
      <c r="B26" s="678">
        <f t="shared" si="3"/>
        <v>925514.74575286091</v>
      </c>
      <c r="C26" s="678"/>
      <c r="D26" s="678">
        <f t="shared" si="7"/>
        <v>110.30107243903959</v>
      </c>
      <c r="E26" s="678"/>
      <c r="F26" s="678">
        <f t="shared" si="0"/>
        <v>925625.04682529997</v>
      </c>
      <c r="H26" s="681">
        <v>45424</v>
      </c>
      <c r="I26" s="678">
        <f t="shared" si="5"/>
        <v>1278383.1399900333</v>
      </c>
      <c r="J26" s="678"/>
      <c r="K26" s="678">
        <f t="shared" si="8"/>
        <v>152.35525093031904</v>
      </c>
      <c r="L26" s="678"/>
      <c r="M26" s="678">
        <f t="shared" si="6"/>
        <v>1278535.4952409638</v>
      </c>
      <c r="O26" s="681">
        <v>45424</v>
      </c>
      <c r="P26" s="678">
        <f t="shared" si="4"/>
        <v>15594.809543004243</v>
      </c>
      <c r="Q26" s="678"/>
      <c r="R26" s="678">
        <f t="shared" si="9"/>
        <v>1.8585594934813274</v>
      </c>
      <c r="S26" s="678"/>
      <c r="T26" s="680">
        <f t="shared" si="2"/>
        <v>15596.668102497724</v>
      </c>
    </row>
    <row r="27" spans="1:20">
      <c r="A27" s="682">
        <v>45425</v>
      </c>
      <c r="B27" s="678">
        <f t="shared" si="3"/>
        <v>925625.04682529997</v>
      </c>
      <c r="C27" s="678"/>
      <c r="D27" s="678">
        <f t="shared" si="7"/>
        <v>110.31421790931655</v>
      </c>
      <c r="E27" s="678"/>
      <c r="F27" s="678">
        <f t="shared" si="0"/>
        <v>925735.36104320933</v>
      </c>
      <c r="H27" s="682">
        <v>45425</v>
      </c>
      <c r="I27" s="678">
        <f t="shared" si="5"/>
        <v>1278535.4952409638</v>
      </c>
      <c r="J27" s="678"/>
      <c r="K27" s="678">
        <f t="shared" si="8"/>
        <v>152.37340833693676</v>
      </c>
      <c r="L27" s="678"/>
      <c r="M27" s="678">
        <f t="shared" si="6"/>
        <v>1278687.8686493007</v>
      </c>
      <c r="O27" s="682">
        <v>45425</v>
      </c>
      <c r="P27" s="678">
        <f t="shared" si="4"/>
        <v>15596.668102497724</v>
      </c>
      <c r="Q27" s="678"/>
      <c r="R27" s="678">
        <f t="shared" si="9"/>
        <v>1.8587809930374</v>
      </c>
      <c r="S27" s="678"/>
      <c r="T27" s="680">
        <f t="shared" si="2"/>
        <v>15598.526883490762</v>
      </c>
    </row>
    <row r="28" spans="1:20">
      <c r="A28" s="681">
        <v>45426</v>
      </c>
      <c r="B28" s="678">
        <f t="shared" si="3"/>
        <v>925735.36104320933</v>
      </c>
      <c r="C28" s="678"/>
      <c r="D28" s="678">
        <f t="shared" si="7"/>
        <v>110.32736494624548</v>
      </c>
      <c r="E28" s="678"/>
      <c r="F28" s="678">
        <f t="shared" si="0"/>
        <v>925845.68840815558</v>
      </c>
      <c r="H28" s="681">
        <v>45426</v>
      </c>
      <c r="I28" s="678">
        <f t="shared" si="5"/>
        <v>1278687.8686493007</v>
      </c>
      <c r="J28" s="678"/>
      <c r="K28" s="678">
        <f t="shared" si="8"/>
        <v>152.39156790751937</v>
      </c>
      <c r="L28" s="678"/>
      <c r="M28" s="678">
        <f t="shared" si="6"/>
        <v>1278840.2602172082</v>
      </c>
      <c r="O28" s="681">
        <v>45426</v>
      </c>
      <c r="P28" s="678">
        <f t="shared" si="4"/>
        <v>15598.526883490762</v>
      </c>
      <c r="Q28" s="678"/>
      <c r="R28" s="678">
        <f t="shared" si="9"/>
        <v>1.8590025189913648</v>
      </c>
      <c r="S28" s="678"/>
      <c r="T28" s="680">
        <f t="shared" si="2"/>
        <v>15600.385886009753</v>
      </c>
    </row>
    <row r="29" spans="1:20">
      <c r="A29" s="681">
        <v>45427</v>
      </c>
      <c r="B29" s="678">
        <f t="shared" si="3"/>
        <v>925845.68840815558</v>
      </c>
      <c r="C29" s="678"/>
      <c r="D29" s="678">
        <f t="shared" si="7"/>
        <v>110.34051355001306</v>
      </c>
      <c r="E29" s="678"/>
      <c r="F29" s="678">
        <f t="shared" si="0"/>
        <v>925956.02892170555</v>
      </c>
      <c r="H29" s="681">
        <v>45427</v>
      </c>
      <c r="I29" s="678">
        <f t="shared" si="5"/>
        <v>1278840.2602172082</v>
      </c>
      <c r="J29" s="678"/>
      <c r="K29" s="678">
        <f t="shared" si="8"/>
        <v>152.40972964232481</v>
      </c>
      <c r="L29" s="678"/>
      <c r="M29" s="678">
        <f t="shared" si="6"/>
        <v>1278992.6699468505</v>
      </c>
      <c r="O29" s="681">
        <v>45427</v>
      </c>
      <c r="P29" s="678">
        <f t="shared" si="4"/>
        <v>15600.385886009753</v>
      </c>
      <c r="Q29" s="678"/>
      <c r="R29" s="678">
        <f t="shared" si="9"/>
        <v>1.8592240713463677</v>
      </c>
      <c r="S29" s="678"/>
      <c r="T29" s="680">
        <f t="shared" si="2"/>
        <v>15602.245110081099</v>
      </c>
    </row>
    <row r="30" spans="1:20">
      <c r="A30" s="681">
        <v>45428</v>
      </c>
      <c r="B30" s="678">
        <f t="shared" si="3"/>
        <v>925956.02892170555</v>
      </c>
      <c r="C30" s="678"/>
      <c r="D30" s="678">
        <f t="shared" si="7"/>
        <v>110.353663720806</v>
      </c>
      <c r="E30" s="678"/>
      <c r="F30" s="678">
        <f t="shared" si="0"/>
        <v>926066.38258542633</v>
      </c>
      <c r="H30" s="681">
        <v>45428</v>
      </c>
      <c r="I30" s="678">
        <f t="shared" si="5"/>
        <v>1278992.6699468505</v>
      </c>
      <c r="J30" s="678"/>
      <c r="K30" s="678">
        <f t="shared" si="8"/>
        <v>152.42789354161096</v>
      </c>
      <c r="L30" s="678"/>
      <c r="M30" s="678">
        <f t="shared" si="6"/>
        <v>1279145.097840392</v>
      </c>
      <c r="O30" s="681">
        <v>45428</v>
      </c>
      <c r="P30" s="678">
        <f t="shared" si="4"/>
        <v>15602.245110081099</v>
      </c>
      <c r="Q30" s="678"/>
      <c r="R30" s="678">
        <f t="shared" si="9"/>
        <v>1.8594456501055556</v>
      </c>
      <c r="S30" s="678"/>
      <c r="T30" s="680">
        <f t="shared" si="2"/>
        <v>15604.104555731205</v>
      </c>
    </row>
    <row r="31" spans="1:20">
      <c r="A31" s="682">
        <v>45429</v>
      </c>
      <c r="B31" s="678">
        <f t="shared" si="3"/>
        <v>926066.38258542633</v>
      </c>
      <c r="C31" s="678"/>
      <c r="D31" s="678">
        <f t="shared" si="7"/>
        <v>110.36681545881108</v>
      </c>
      <c r="E31" s="678"/>
      <c r="F31" s="678">
        <f t="shared" si="0"/>
        <v>926176.74940088519</v>
      </c>
      <c r="H31" s="682">
        <v>45429</v>
      </c>
      <c r="I31" s="678">
        <f t="shared" si="5"/>
        <v>1279145.097840392</v>
      </c>
      <c r="J31" s="678"/>
      <c r="K31" s="678">
        <f t="shared" si="8"/>
        <v>152.44605960563575</v>
      </c>
      <c r="L31" s="678"/>
      <c r="M31" s="678">
        <f t="shared" si="6"/>
        <v>1279297.5438999976</v>
      </c>
      <c r="O31" s="682">
        <v>45429</v>
      </c>
      <c r="P31" s="678">
        <f t="shared" si="4"/>
        <v>15604.104555731205</v>
      </c>
      <c r="Q31" s="678"/>
      <c r="R31" s="678">
        <f t="shared" si="9"/>
        <v>1.859667255272075</v>
      </c>
      <c r="S31" s="678"/>
      <c r="T31" s="680">
        <f t="shared" si="2"/>
        <v>15605.964222986477</v>
      </c>
    </row>
    <row r="32" spans="1:20">
      <c r="A32" s="681">
        <v>45430</v>
      </c>
      <c r="B32" s="678">
        <f t="shared" si="3"/>
        <v>926176.74940088519</v>
      </c>
      <c r="C32" s="678"/>
      <c r="D32" s="678">
        <f t="shared" si="7"/>
        <v>110.37996876421508</v>
      </c>
      <c r="E32" s="678"/>
      <c r="F32" s="678">
        <f t="shared" si="0"/>
        <v>926287.12936964945</v>
      </c>
      <c r="H32" s="681">
        <v>45430</v>
      </c>
      <c r="I32" s="678">
        <f t="shared" si="5"/>
        <v>1279297.5438999976</v>
      </c>
      <c r="J32" s="678"/>
      <c r="K32" s="678">
        <f t="shared" si="8"/>
        <v>152.46422783465724</v>
      </c>
      <c r="L32" s="678"/>
      <c r="M32" s="678">
        <f t="shared" si="6"/>
        <v>1279450.0081278323</v>
      </c>
      <c r="O32" s="681">
        <v>45430</v>
      </c>
      <c r="P32" s="678">
        <f t="shared" si="4"/>
        <v>15605.964222986477</v>
      </c>
      <c r="Q32" s="678"/>
      <c r="R32" s="678">
        <f t="shared" si="9"/>
        <v>1.8598888868490733</v>
      </c>
      <c r="S32" s="678"/>
      <c r="T32" s="680">
        <f t="shared" si="2"/>
        <v>15607.824111873326</v>
      </c>
    </row>
    <row r="33" spans="1:20">
      <c r="A33" s="681">
        <v>45431</v>
      </c>
      <c r="B33" s="678">
        <f t="shared" si="3"/>
        <v>926287.12936964945</v>
      </c>
      <c r="C33" s="678"/>
      <c r="D33" s="678">
        <f t="shared" si="7"/>
        <v>110.39312363720478</v>
      </c>
      <c r="E33" s="678"/>
      <c r="F33" s="678">
        <f t="shared" si="0"/>
        <v>926397.52249328664</v>
      </c>
      <c r="H33" s="681">
        <v>45431</v>
      </c>
      <c r="I33" s="678">
        <f t="shared" si="5"/>
        <v>1279450.0081278323</v>
      </c>
      <c r="J33" s="678"/>
      <c r="K33" s="678">
        <f t="shared" si="8"/>
        <v>152.48239822893342</v>
      </c>
      <c r="L33" s="678"/>
      <c r="M33" s="678">
        <f t="shared" si="6"/>
        <v>1279602.4905260613</v>
      </c>
      <c r="O33" s="681">
        <v>45431</v>
      </c>
      <c r="P33" s="678">
        <f t="shared" si="4"/>
        <v>15607.824111873326</v>
      </c>
      <c r="Q33" s="678"/>
      <c r="R33" s="678">
        <f t="shared" si="9"/>
        <v>1.8601105448396977</v>
      </c>
      <c r="S33" s="678"/>
      <c r="T33" s="680">
        <f t="shared" si="2"/>
        <v>15609.684222418166</v>
      </c>
    </row>
    <row r="34" spans="1:20">
      <c r="A34" s="681">
        <v>45432</v>
      </c>
      <c r="B34" s="678">
        <f t="shared" si="3"/>
        <v>926397.52249328664</v>
      </c>
      <c r="C34" s="678"/>
      <c r="D34" s="678">
        <f t="shared" si="7"/>
        <v>110.40628007796704</v>
      </c>
      <c r="E34" s="678"/>
      <c r="F34" s="678">
        <f t="shared" si="0"/>
        <v>926507.92877336463</v>
      </c>
      <c r="H34" s="681">
        <v>45432</v>
      </c>
      <c r="I34" s="678">
        <f t="shared" si="5"/>
        <v>1279602.4905260613</v>
      </c>
      <c r="J34" s="678"/>
      <c r="K34" s="678">
        <f t="shared" si="8"/>
        <v>152.50057078872237</v>
      </c>
      <c r="L34" s="678"/>
      <c r="M34" s="678">
        <f t="shared" si="6"/>
        <v>1279754.99109685</v>
      </c>
      <c r="O34" s="681">
        <v>45432</v>
      </c>
      <c r="P34" s="678">
        <f t="shared" si="4"/>
        <v>15609.684222418166</v>
      </c>
      <c r="Q34" s="678"/>
      <c r="R34" s="678">
        <f t="shared" si="9"/>
        <v>1.8603322292470965</v>
      </c>
      <c r="S34" s="678"/>
      <c r="T34" s="680">
        <f t="shared" si="2"/>
        <v>15611.544554647413</v>
      </c>
    </row>
    <row r="35" spans="1:20">
      <c r="A35" s="681">
        <v>45433</v>
      </c>
      <c r="B35" s="678">
        <f t="shared" si="3"/>
        <v>926507.92877336463</v>
      </c>
      <c r="C35" s="678"/>
      <c r="D35" s="678">
        <f t="shared" si="7"/>
        <v>110.41943808668866</v>
      </c>
      <c r="E35" s="678"/>
      <c r="F35" s="678">
        <f t="shared" si="0"/>
        <v>926618.34821145132</v>
      </c>
      <c r="H35" s="681">
        <v>45433</v>
      </c>
      <c r="I35" s="678">
        <f t="shared" si="5"/>
        <v>1279754.99109685</v>
      </c>
      <c r="J35" s="678"/>
      <c r="K35" s="678">
        <f t="shared" si="8"/>
        <v>152.5187455142821</v>
      </c>
      <c r="L35" s="678"/>
      <c r="M35" s="678">
        <f t="shared" si="6"/>
        <v>1279907.5098423644</v>
      </c>
      <c r="O35" s="681">
        <v>45433</v>
      </c>
      <c r="P35" s="678">
        <f t="shared" si="4"/>
        <v>15611.544554647413</v>
      </c>
      <c r="Q35" s="678"/>
      <c r="R35" s="678">
        <f t="shared" si="9"/>
        <v>1.8605539400744175</v>
      </c>
      <c r="S35" s="678"/>
      <c r="T35" s="680">
        <f t="shared" si="2"/>
        <v>15613.405108587487</v>
      </c>
    </row>
    <row r="36" spans="1:20">
      <c r="A36" s="682">
        <v>45434</v>
      </c>
      <c r="B36" s="678">
        <f t="shared" si="3"/>
        <v>926618.34821145132</v>
      </c>
      <c r="C36" s="678"/>
      <c r="D36" s="678">
        <f t="shared" si="7"/>
        <v>110.43259766355652</v>
      </c>
      <c r="E36" s="678"/>
      <c r="F36" s="678">
        <f t="shared" si="0"/>
        <v>926728.78080911492</v>
      </c>
      <c r="H36" s="682">
        <v>45434</v>
      </c>
      <c r="I36" s="678">
        <f t="shared" si="5"/>
        <v>1279907.5098423644</v>
      </c>
      <c r="J36" s="678"/>
      <c r="K36" s="678">
        <f t="shared" si="8"/>
        <v>152.53692240587083</v>
      </c>
      <c r="L36" s="678"/>
      <c r="M36" s="678">
        <f t="shared" si="6"/>
        <v>1280060.0467647703</v>
      </c>
      <c r="O36" s="682">
        <v>45434</v>
      </c>
      <c r="P36" s="678">
        <f t="shared" si="4"/>
        <v>15613.405108587487</v>
      </c>
      <c r="Q36" s="678"/>
      <c r="R36" s="678">
        <f t="shared" si="9"/>
        <v>1.8607756773248101</v>
      </c>
      <c r="S36" s="678"/>
      <c r="T36" s="680">
        <f t="shared" si="2"/>
        <v>15615.265884264812</v>
      </c>
    </row>
    <row r="37" spans="1:20">
      <c r="A37" s="681">
        <v>45435</v>
      </c>
      <c r="B37" s="678">
        <f t="shared" si="3"/>
        <v>926728.78080911492</v>
      </c>
      <c r="C37" s="678"/>
      <c r="D37" s="678">
        <f t="shared" si="7"/>
        <v>110.44575880875752</v>
      </c>
      <c r="E37" s="678"/>
      <c r="F37" s="678">
        <f t="shared" si="0"/>
        <v>926839.22656792367</v>
      </c>
      <c r="H37" s="681">
        <v>45435</v>
      </c>
      <c r="I37" s="678">
        <f t="shared" si="5"/>
        <v>1280060.0467647703</v>
      </c>
      <c r="J37" s="678"/>
      <c r="K37" s="678">
        <f t="shared" si="8"/>
        <v>152.55510146374658</v>
      </c>
      <c r="L37" s="678"/>
      <c r="M37" s="678">
        <f t="shared" si="6"/>
        <v>1280212.6018662341</v>
      </c>
      <c r="O37" s="681">
        <v>45435</v>
      </c>
      <c r="P37" s="678">
        <f t="shared" si="4"/>
        <v>15615.265884264812</v>
      </c>
      <c r="Q37" s="678"/>
      <c r="R37" s="678">
        <f t="shared" si="9"/>
        <v>1.8609974410014227</v>
      </c>
      <c r="S37" s="678"/>
      <c r="T37" s="680">
        <f t="shared" si="2"/>
        <v>15617.126881705814</v>
      </c>
    </row>
    <row r="38" spans="1:20">
      <c r="A38" s="681">
        <v>45436</v>
      </c>
      <c r="B38" s="678">
        <f t="shared" si="3"/>
        <v>926839.22656792367</v>
      </c>
      <c r="C38" s="678"/>
      <c r="D38" s="678">
        <f t="shared" si="7"/>
        <v>110.45892152247856</v>
      </c>
      <c r="E38" s="678"/>
      <c r="F38" s="678">
        <f t="shared" si="0"/>
        <v>926949.68548944616</v>
      </c>
      <c r="H38" s="681">
        <v>45436</v>
      </c>
      <c r="I38" s="678">
        <f t="shared" si="5"/>
        <v>1280212.6018662341</v>
      </c>
      <c r="J38" s="678"/>
      <c r="K38" s="678">
        <f t="shared" si="8"/>
        <v>152.57328268816761</v>
      </c>
      <c r="L38" s="678"/>
      <c r="M38" s="678">
        <f t="shared" si="6"/>
        <v>1280365.1751489223</v>
      </c>
      <c r="O38" s="681">
        <v>45436</v>
      </c>
      <c r="P38" s="678">
        <f t="shared" si="4"/>
        <v>15617.126881705814</v>
      </c>
      <c r="Q38" s="678"/>
      <c r="R38" s="678">
        <f t="shared" si="9"/>
        <v>1.8612192311074049</v>
      </c>
      <c r="S38" s="678"/>
      <c r="T38" s="680">
        <f t="shared" si="2"/>
        <v>15618.98810093692</v>
      </c>
    </row>
    <row r="39" spans="1:20">
      <c r="A39" s="681">
        <v>45437</v>
      </c>
      <c r="B39" s="678">
        <f t="shared" si="3"/>
        <v>926949.68548944616</v>
      </c>
      <c r="C39" s="678"/>
      <c r="D39" s="678">
        <f t="shared" si="7"/>
        <v>110.47208580490658</v>
      </c>
      <c r="E39" s="678"/>
      <c r="F39" s="678">
        <f t="shared" si="0"/>
        <v>927060.15757525107</v>
      </c>
      <c r="H39" s="681">
        <v>45437</v>
      </c>
      <c r="I39" s="678">
        <f t="shared" si="5"/>
        <v>1280365.1751489223</v>
      </c>
      <c r="J39" s="678"/>
      <c r="K39" s="678">
        <f t="shared" si="8"/>
        <v>152.59146607939209</v>
      </c>
      <c r="L39" s="678"/>
      <c r="M39" s="678">
        <f t="shared" si="6"/>
        <v>1280517.7666150017</v>
      </c>
      <c r="O39" s="681">
        <v>45437</v>
      </c>
      <c r="P39" s="678">
        <f t="shared" si="4"/>
        <v>15618.98810093692</v>
      </c>
      <c r="Q39" s="678"/>
      <c r="R39" s="678">
        <f t="shared" si="9"/>
        <v>1.8614410476459067</v>
      </c>
      <c r="S39" s="678"/>
      <c r="T39" s="680">
        <f t="shared" si="2"/>
        <v>15620.849541984566</v>
      </c>
    </row>
    <row r="40" spans="1:20">
      <c r="A40" s="682">
        <v>45438</v>
      </c>
      <c r="B40" s="678">
        <f t="shared" si="3"/>
        <v>927060.15757525107</v>
      </c>
      <c r="C40" s="678"/>
      <c r="D40" s="678">
        <f t="shared" si="7"/>
        <v>110.48525165622854</v>
      </c>
      <c r="E40" s="678"/>
      <c r="F40" s="678">
        <f t="shared" ref="F40:F75" si="10">+B40+C40+D40-E40</f>
        <v>927170.64282690734</v>
      </c>
      <c r="H40" s="682">
        <v>45438</v>
      </c>
      <c r="I40" s="678">
        <f t="shared" si="5"/>
        <v>1280517.7666150017</v>
      </c>
      <c r="K40" s="678">
        <f t="shared" si="8"/>
        <v>152.6096516376783</v>
      </c>
      <c r="L40" s="678"/>
      <c r="M40" s="678">
        <f t="shared" ref="M40:M41" si="11">+I40+J40+K40-L40</f>
        <v>1280670.3762666394</v>
      </c>
      <c r="O40" s="682">
        <v>45438</v>
      </c>
      <c r="P40" s="678">
        <f t="shared" si="4"/>
        <v>15620.849541984566</v>
      </c>
      <c r="Q40" s="678"/>
      <c r="R40" s="678">
        <f t="shared" si="9"/>
        <v>1.8616628906200783</v>
      </c>
      <c r="S40" s="678"/>
      <c r="T40" s="680">
        <f t="shared" ref="T40:T75" si="12">+P40+Q40+R40-S40</f>
        <v>15622.711204875186</v>
      </c>
    </row>
    <row r="41" spans="1:20">
      <c r="A41" s="681">
        <v>45439</v>
      </c>
      <c r="B41" s="678">
        <f t="shared" ref="B41:B75" si="13">+F40</f>
        <v>927170.64282690734</v>
      </c>
      <c r="C41" s="678"/>
      <c r="D41" s="678">
        <f t="shared" si="7"/>
        <v>110.49841907663141</v>
      </c>
      <c r="E41" s="678"/>
      <c r="F41" s="678">
        <f t="shared" si="10"/>
        <v>927281.14124598401</v>
      </c>
      <c r="H41" s="681">
        <v>45439</v>
      </c>
      <c r="I41" s="678">
        <f t="shared" ref="I41:I75" si="14">+M40</f>
        <v>1280670.3762666394</v>
      </c>
      <c r="J41" s="678"/>
      <c r="K41" s="678">
        <f t="shared" si="8"/>
        <v>152.62783936328441</v>
      </c>
      <c r="L41" s="678"/>
      <c r="M41" s="678">
        <f t="shared" si="11"/>
        <v>1280823.0041060026</v>
      </c>
      <c r="O41" s="681">
        <v>45439</v>
      </c>
      <c r="P41" s="678">
        <f t="shared" ref="P41:P75" si="15">+T40</f>
        <v>15622.711204875186</v>
      </c>
      <c r="Q41" s="678"/>
      <c r="R41" s="678">
        <f t="shared" si="9"/>
        <v>1.8618847600330701</v>
      </c>
      <c r="S41" s="678"/>
      <c r="T41" s="680">
        <f t="shared" si="12"/>
        <v>15624.57308963522</v>
      </c>
    </row>
    <row r="42" spans="1:20">
      <c r="A42" s="681">
        <v>45440</v>
      </c>
      <c r="B42" s="678">
        <f t="shared" si="13"/>
        <v>927281.14124598401</v>
      </c>
      <c r="C42" s="678"/>
      <c r="D42" s="678">
        <f t="shared" si="7"/>
        <v>110.5115880663022</v>
      </c>
      <c r="E42" s="678"/>
      <c r="F42" s="678">
        <f t="shared" si="10"/>
        <v>927391.65283405036</v>
      </c>
      <c r="H42" s="681">
        <v>45440</v>
      </c>
      <c r="I42" s="678">
        <f t="shared" si="14"/>
        <v>1280823.0041060026</v>
      </c>
      <c r="J42" s="678"/>
      <c r="K42" s="678">
        <f t="shared" si="8"/>
        <v>152.64602925646878</v>
      </c>
      <c r="L42" s="678"/>
      <c r="M42" s="678">
        <f t="shared" ref="M42:M75" si="16">+I42+J42+K42-L42</f>
        <v>1280975.6501352591</v>
      </c>
      <c r="O42" s="681">
        <v>45440</v>
      </c>
      <c r="P42" s="678">
        <f t="shared" si="15"/>
        <v>15624.57308963522</v>
      </c>
      <c r="Q42" s="678"/>
      <c r="R42" s="678">
        <f t="shared" si="9"/>
        <v>1.862106655888033</v>
      </c>
      <c r="S42" s="678"/>
      <c r="T42" s="680">
        <f t="shared" si="12"/>
        <v>15626.435196291108</v>
      </c>
    </row>
    <row r="43" spans="1:20">
      <c r="A43" s="681">
        <v>45441</v>
      </c>
      <c r="B43" s="678">
        <f t="shared" si="13"/>
        <v>927391.65283405036</v>
      </c>
      <c r="C43" s="678"/>
      <c r="D43" s="678">
        <f t="shared" si="7"/>
        <v>110.52475862542791</v>
      </c>
      <c r="E43" s="678"/>
      <c r="F43" s="678">
        <f t="shared" si="10"/>
        <v>927502.17759267578</v>
      </c>
      <c r="H43" s="681">
        <v>45441</v>
      </c>
      <c r="I43" s="678">
        <f t="shared" si="14"/>
        <v>1280975.6501352591</v>
      </c>
      <c r="J43" s="678"/>
      <c r="K43" s="678">
        <f t="shared" si="8"/>
        <v>152.66422131748979</v>
      </c>
      <c r="L43" s="678"/>
      <c r="M43" s="678">
        <f t="shared" si="16"/>
        <v>1281128.3143565767</v>
      </c>
      <c r="O43" s="681">
        <v>45441</v>
      </c>
      <c r="P43" s="678">
        <f t="shared" si="15"/>
        <v>15626.435196291108</v>
      </c>
      <c r="Q43" s="678"/>
      <c r="R43" s="678">
        <f t="shared" si="9"/>
        <v>1.8623285781881183</v>
      </c>
      <c r="S43" s="678"/>
      <c r="T43" s="680">
        <f t="shared" si="12"/>
        <v>15628.297524869296</v>
      </c>
    </row>
    <row r="44" spans="1:20">
      <c r="A44" s="681">
        <v>45442</v>
      </c>
      <c r="B44" s="678">
        <f t="shared" si="13"/>
        <v>927502.17759267578</v>
      </c>
      <c r="C44" s="678"/>
      <c r="D44" s="678">
        <f t="shared" si="7"/>
        <v>110.5379307541956</v>
      </c>
      <c r="E44" s="678"/>
      <c r="F44" s="678">
        <f t="shared" si="10"/>
        <v>927612.71552343003</v>
      </c>
      <c r="H44" s="681">
        <v>45442</v>
      </c>
      <c r="I44" s="678">
        <f t="shared" si="14"/>
        <v>1281128.3143565767</v>
      </c>
      <c r="J44" s="678"/>
      <c r="K44" s="678">
        <f t="shared" ref="K44:K81" si="17">SUM(I44*$K$1)/365</f>
        <v>152.68241554660568</v>
      </c>
      <c r="L44" s="678"/>
      <c r="M44" s="678">
        <f t="shared" si="16"/>
        <v>1281280.9967721233</v>
      </c>
      <c r="O44" s="681">
        <v>45442</v>
      </c>
      <c r="P44" s="678">
        <f t="shared" si="15"/>
        <v>15628.297524869296</v>
      </c>
      <c r="Q44" s="678"/>
      <c r="R44" s="678">
        <f t="shared" si="9"/>
        <v>1.8625505269364775</v>
      </c>
      <c r="S44" s="678"/>
      <c r="T44" s="680">
        <f t="shared" si="12"/>
        <v>15630.160075396232</v>
      </c>
    </row>
    <row r="45" spans="1:20">
      <c r="A45" s="682">
        <v>45443</v>
      </c>
      <c r="B45" s="678">
        <f t="shared" si="13"/>
        <v>927612.71552343003</v>
      </c>
      <c r="C45" s="678"/>
      <c r="D45" s="678">
        <f t="shared" ref="D45:D82" si="18">SUM(B45*$K$1)/365</f>
        <v>110.55110445279233</v>
      </c>
      <c r="E45" s="678"/>
      <c r="F45" s="678">
        <f t="shared" si="10"/>
        <v>927723.26662788284</v>
      </c>
      <c r="H45" s="682">
        <v>45443</v>
      </c>
      <c r="I45" s="678">
        <f t="shared" si="14"/>
        <v>1281280.9967721233</v>
      </c>
      <c r="J45" s="678"/>
      <c r="K45" s="678">
        <f t="shared" si="17"/>
        <v>152.70061194407495</v>
      </c>
      <c r="L45" s="678"/>
      <c r="M45" s="678">
        <f t="shared" si="16"/>
        <v>1281433.6973840673</v>
      </c>
      <c r="O45" s="682">
        <v>45443</v>
      </c>
      <c r="P45" s="678">
        <f t="shared" si="15"/>
        <v>15630.160075396232</v>
      </c>
      <c r="Q45" s="678"/>
      <c r="R45" s="678">
        <f t="shared" si="9"/>
        <v>1.8627725021362631</v>
      </c>
      <c r="S45" s="678"/>
      <c r="T45" s="680">
        <f t="shared" si="12"/>
        <v>15632.022847898368</v>
      </c>
    </row>
    <row r="46" spans="1:20">
      <c r="A46" s="681">
        <v>45444</v>
      </c>
      <c r="B46" s="678">
        <f t="shared" si="13"/>
        <v>927723.26662788284</v>
      </c>
      <c r="C46" s="678"/>
      <c r="D46" s="678">
        <f t="shared" si="18"/>
        <v>110.5642797214052</v>
      </c>
      <c r="E46" s="678">
        <v>60000.15</v>
      </c>
      <c r="F46" s="678">
        <f t="shared" si="10"/>
        <v>867833.68090760417</v>
      </c>
      <c r="H46" s="681">
        <v>45444</v>
      </c>
      <c r="I46" s="678">
        <f t="shared" si="14"/>
        <v>1281433.6973840673</v>
      </c>
      <c r="J46" s="678"/>
      <c r="K46" s="678">
        <f t="shared" si="17"/>
        <v>152.71881051015595</v>
      </c>
      <c r="L46" s="678"/>
      <c r="M46" s="678">
        <f t="shared" si="16"/>
        <v>1281586.4161945775</v>
      </c>
      <c r="O46" s="681">
        <v>45444</v>
      </c>
      <c r="P46" s="678">
        <f t="shared" si="15"/>
        <v>15632.022847898368</v>
      </c>
      <c r="Q46" s="678"/>
      <c r="R46" s="678">
        <f t="shared" si="9"/>
        <v>1.8629945037906273</v>
      </c>
      <c r="S46" s="678"/>
      <c r="T46" s="680">
        <f t="shared" si="12"/>
        <v>15633.885842402158</v>
      </c>
    </row>
    <row r="47" spans="1:20">
      <c r="A47" s="681">
        <v>45445</v>
      </c>
      <c r="B47" s="678">
        <f t="shared" si="13"/>
        <v>867833.68090760417</v>
      </c>
      <c r="C47" s="678"/>
      <c r="D47" s="678">
        <f t="shared" si="18"/>
        <v>103.42675375200213</v>
      </c>
      <c r="E47" s="678"/>
      <c r="F47" s="678">
        <f t="shared" si="10"/>
        <v>867937.10766135622</v>
      </c>
      <c r="H47" s="681">
        <v>45445</v>
      </c>
      <c r="I47" s="678">
        <f t="shared" si="14"/>
        <v>1281586.4161945775</v>
      </c>
      <c r="J47" s="678"/>
      <c r="K47" s="678">
        <f t="shared" si="17"/>
        <v>152.73701124510717</v>
      </c>
      <c r="L47" s="678"/>
      <c r="M47" s="678">
        <f t="shared" si="16"/>
        <v>1281739.1532058227</v>
      </c>
      <c r="O47" s="681">
        <v>45445</v>
      </c>
      <c r="P47" s="678">
        <f t="shared" si="15"/>
        <v>15633.885842402158</v>
      </c>
      <c r="Q47" s="678"/>
      <c r="R47" s="678">
        <f t="shared" ref="R47:R84" si="19">SUM(P47*$K$1)/365</f>
        <v>1.8632165319027227</v>
      </c>
      <c r="S47" s="678"/>
      <c r="T47" s="680">
        <f t="shared" si="12"/>
        <v>15635.749058934061</v>
      </c>
    </row>
    <row r="48" spans="1:20">
      <c r="A48" s="681">
        <v>45446</v>
      </c>
      <c r="B48" s="678">
        <f t="shared" si="13"/>
        <v>867937.10766135622</v>
      </c>
      <c r="C48" s="678"/>
      <c r="D48" s="678">
        <f t="shared" si="18"/>
        <v>103.43907995416163</v>
      </c>
      <c r="E48" s="678"/>
      <c r="F48" s="678">
        <f t="shared" si="10"/>
        <v>868040.54674131039</v>
      </c>
      <c r="H48" s="681">
        <v>45446</v>
      </c>
      <c r="I48" s="678">
        <f t="shared" si="14"/>
        <v>1281739.1532058227</v>
      </c>
      <c r="J48" s="678"/>
      <c r="K48" s="678">
        <f t="shared" si="17"/>
        <v>152.75521414918708</v>
      </c>
      <c r="L48" s="678"/>
      <c r="M48" s="678">
        <f t="shared" si="16"/>
        <v>1281891.9084199718</v>
      </c>
      <c r="O48" s="681">
        <v>45446</v>
      </c>
      <c r="P48" s="678">
        <f t="shared" si="15"/>
        <v>15635.749058934061</v>
      </c>
      <c r="Q48" s="678"/>
      <c r="R48" s="678">
        <f t="shared" si="19"/>
        <v>1.863438586475703</v>
      </c>
      <c r="S48" s="678"/>
      <c r="T48" s="680">
        <f t="shared" si="12"/>
        <v>15637.612497520537</v>
      </c>
    </row>
    <row r="49" spans="1:20">
      <c r="A49" s="682">
        <v>45447</v>
      </c>
      <c r="B49" s="678">
        <f t="shared" si="13"/>
        <v>868040.54674131039</v>
      </c>
      <c r="C49" s="678"/>
      <c r="D49" s="678">
        <f t="shared" si="18"/>
        <v>103.45140762533424</v>
      </c>
      <c r="E49" s="678"/>
      <c r="F49" s="678">
        <f t="shared" si="10"/>
        <v>868143.99814893573</v>
      </c>
      <c r="H49" s="682">
        <v>45447</v>
      </c>
      <c r="I49" s="678">
        <f t="shared" si="14"/>
        <v>1281891.9084199718</v>
      </c>
      <c r="J49" s="678"/>
      <c r="K49" s="678">
        <f t="shared" si="17"/>
        <v>152.77341922265416</v>
      </c>
      <c r="L49" s="678"/>
      <c r="M49" s="678">
        <f t="shared" si="16"/>
        <v>1282044.6818391944</v>
      </c>
      <c r="O49" s="682">
        <v>45447</v>
      </c>
      <c r="P49" s="678">
        <f t="shared" si="15"/>
        <v>15637.612497520537</v>
      </c>
      <c r="Q49" s="678"/>
      <c r="R49" s="678">
        <f t="shared" si="19"/>
        <v>1.8636606675127212</v>
      </c>
      <c r="S49" s="678"/>
      <c r="T49" s="680">
        <f t="shared" si="12"/>
        <v>15639.47615818805</v>
      </c>
    </row>
    <row r="50" spans="1:20">
      <c r="A50" s="681">
        <v>45448</v>
      </c>
      <c r="B50" s="678">
        <f t="shared" si="13"/>
        <v>868143.99814893573</v>
      </c>
      <c r="C50" s="678"/>
      <c r="D50" s="678">
        <f t="shared" si="18"/>
        <v>103.46373676569507</v>
      </c>
      <c r="E50" s="678"/>
      <c r="F50" s="678">
        <f t="shared" si="10"/>
        <v>868247.4618857014</v>
      </c>
      <c r="H50" s="681">
        <v>45448</v>
      </c>
      <c r="I50" s="678">
        <f t="shared" si="14"/>
        <v>1282044.6818391944</v>
      </c>
      <c r="J50" s="678"/>
      <c r="K50" s="678">
        <f t="shared" si="17"/>
        <v>152.791626465767</v>
      </c>
      <c r="L50" s="678"/>
      <c r="M50" s="678">
        <f t="shared" si="16"/>
        <v>1282197.4734656601</v>
      </c>
      <c r="O50" s="681">
        <v>45448</v>
      </c>
      <c r="P50" s="678">
        <f t="shared" si="15"/>
        <v>15639.47615818805</v>
      </c>
      <c r="Q50" s="678"/>
      <c r="R50" s="678">
        <f t="shared" si="19"/>
        <v>1.8638827750169318</v>
      </c>
      <c r="S50" s="678"/>
      <c r="T50" s="680">
        <f t="shared" si="12"/>
        <v>15641.340040963067</v>
      </c>
    </row>
    <row r="51" spans="1:20">
      <c r="A51" s="681">
        <v>45449</v>
      </c>
      <c r="B51" s="678">
        <f t="shared" si="13"/>
        <v>868247.4618857014</v>
      </c>
      <c r="C51" s="678"/>
      <c r="D51" s="678">
        <f t="shared" si="18"/>
        <v>103.47606737541919</v>
      </c>
      <c r="E51" s="678"/>
      <c r="F51" s="678">
        <f t="shared" si="10"/>
        <v>868350.93795307679</v>
      </c>
      <c r="H51" s="681">
        <v>45449</v>
      </c>
      <c r="I51" s="678">
        <f t="shared" si="14"/>
        <v>1282197.4734656601</v>
      </c>
      <c r="J51" s="678"/>
      <c r="K51" s="678">
        <f t="shared" si="17"/>
        <v>152.80983587878413</v>
      </c>
      <c r="L51" s="678"/>
      <c r="M51" s="678">
        <f t="shared" si="16"/>
        <v>1282350.283301539</v>
      </c>
      <c r="O51" s="681">
        <v>45449</v>
      </c>
      <c r="P51" s="678">
        <f t="shared" si="15"/>
        <v>15641.340040963067</v>
      </c>
      <c r="Q51" s="678"/>
      <c r="R51" s="678">
        <f t="shared" si="19"/>
        <v>1.8641049089914887</v>
      </c>
      <c r="S51" s="678"/>
      <c r="T51" s="680">
        <f t="shared" si="12"/>
        <v>15643.204145872058</v>
      </c>
    </row>
    <row r="52" spans="1:20">
      <c r="A52" s="681">
        <v>45450</v>
      </c>
      <c r="B52" s="678">
        <f t="shared" si="13"/>
        <v>868350.93795307679</v>
      </c>
      <c r="C52" s="678"/>
      <c r="D52" s="678">
        <f t="shared" si="18"/>
        <v>103.48839945468175</v>
      </c>
      <c r="E52" s="678"/>
      <c r="F52" s="678">
        <f t="shared" si="10"/>
        <v>868454.42635253142</v>
      </c>
      <c r="H52" s="681">
        <v>45450</v>
      </c>
      <c r="I52" s="678">
        <f t="shared" si="14"/>
        <v>1282350.283301539</v>
      </c>
      <c r="J52" s="678"/>
      <c r="K52" s="678">
        <f t="shared" si="17"/>
        <v>152.82804746196422</v>
      </c>
      <c r="L52" s="678"/>
      <c r="M52" s="678">
        <f t="shared" si="16"/>
        <v>1282503.1113490011</v>
      </c>
      <c r="O52" s="681">
        <v>45450</v>
      </c>
      <c r="P52" s="678">
        <f t="shared" si="15"/>
        <v>15643.204145872058</v>
      </c>
      <c r="Q52" s="678"/>
      <c r="R52" s="678">
        <f t="shared" si="19"/>
        <v>1.8643270694395466</v>
      </c>
      <c r="S52" s="678"/>
      <c r="T52" s="680">
        <f t="shared" si="12"/>
        <v>15645.068472941497</v>
      </c>
    </row>
    <row r="53" spans="1:20">
      <c r="A53" s="681">
        <v>45451</v>
      </c>
      <c r="B53" s="678">
        <f t="shared" si="13"/>
        <v>868454.42635253142</v>
      </c>
      <c r="C53" s="678"/>
      <c r="D53" s="678">
        <f t="shared" si="18"/>
        <v>103.50073300365784</v>
      </c>
      <c r="E53" s="678"/>
      <c r="F53" s="678">
        <f t="shared" si="10"/>
        <v>868557.92708553502</v>
      </c>
      <c r="H53" s="681">
        <v>45451</v>
      </c>
      <c r="I53" s="678">
        <f t="shared" si="14"/>
        <v>1282503.1113490011</v>
      </c>
      <c r="J53" s="678"/>
      <c r="K53" s="678">
        <f t="shared" si="17"/>
        <v>152.84626121556587</v>
      </c>
      <c r="L53" s="678"/>
      <c r="M53" s="678">
        <f t="shared" si="16"/>
        <v>1282655.9576102167</v>
      </c>
      <c r="O53" s="681">
        <v>45451</v>
      </c>
      <c r="P53" s="678">
        <f t="shared" si="15"/>
        <v>15645.068472941497</v>
      </c>
      <c r="Q53" s="678"/>
      <c r="R53" s="678">
        <f t="shared" si="19"/>
        <v>1.8645492563642605</v>
      </c>
      <c r="S53" s="678"/>
      <c r="T53" s="680">
        <f t="shared" si="12"/>
        <v>15646.933022197862</v>
      </c>
    </row>
    <row r="54" spans="1:20">
      <c r="A54" s="682">
        <v>45452</v>
      </c>
      <c r="B54" s="678">
        <f t="shared" si="13"/>
        <v>868557.92708553502</v>
      </c>
      <c r="C54" s="678"/>
      <c r="D54" s="678">
        <f t="shared" si="18"/>
        <v>103.51306802252266</v>
      </c>
      <c r="E54" s="678"/>
      <c r="F54" s="678">
        <f t="shared" si="10"/>
        <v>868661.44015355757</v>
      </c>
      <c r="H54" s="682">
        <v>45452</v>
      </c>
      <c r="I54" s="678">
        <f t="shared" si="14"/>
        <v>1282655.9576102167</v>
      </c>
      <c r="J54" s="678"/>
      <c r="K54" s="678">
        <f t="shared" si="17"/>
        <v>152.86447713984774</v>
      </c>
      <c r="L54" s="678"/>
      <c r="M54" s="678">
        <f t="shared" si="16"/>
        <v>1282808.8220873566</v>
      </c>
      <c r="O54" s="682">
        <v>45452</v>
      </c>
      <c r="P54" s="678">
        <f t="shared" si="15"/>
        <v>15646.933022197862</v>
      </c>
      <c r="Q54" s="678"/>
      <c r="R54" s="678">
        <f t="shared" si="19"/>
        <v>1.864771469768786</v>
      </c>
      <c r="S54" s="678"/>
      <c r="T54" s="680">
        <f t="shared" si="12"/>
        <v>15648.797793667631</v>
      </c>
    </row>
    <row r="55" spans="1:20">
      <c r="A55" s="681">
        <v>45453</v>
      </c>
      <c r="B55" s="678">
        <f t="shared" si="13"/>
        <v>868661.44015355757</v>
      </c>
      <c r="C55" s="678"/>
      <c r="D55" s="678">
        <f t="shared" si="18"/>
        <v>103.52540451145138</v>
      </c>
      <c r="E55" s="678"/>
      <c r="F55" s="678">
        <f t="shared" si="10"/>
        <v>868764.96555806906</v>
      </c>
      <c r="H55" s="681">
        <v>45453</v>
      </c>
      <c r="I55" s="678">
        <f t="shared" si="14"/>
        <v>1282808.8220873566</v>
      </c>
      <c r="J55" s="678"/>
      <c r="K55" s="678">
        <f t="shared" si="17"/>
        <v>152.8826952350685</v>
      </c>
      <c r="L55" s="678"/>
      <c r="M55" s="678">
        <f t="shared" si="16"/>
        <v>1282961.7047825917</v>
      </c>
      <c r="O55" s="681">
        <v>45453</v>
      </c>
      <c r="P55" s="678">
        <f t="shared" si="15"/>
        <v>15648.797793667631</v>
      </c>
      <c r="Q55" s="678"/>
      <c r="R55" s="678">
        <f t="shared" si="19"/>
        <v>1.8649937096562792</v>
      </c>
      <c r="S55" s="678"/>
      <c r="T55" s="680">
        <f t="shared" si="12"/>
        <v>15650.662787377287</v>
      </c>
    </row>
    <row r="56" spans="1:20">
      <c r="A56" s="681">
        <v>45454</v>
      </c>
      <c r="B56" s="678">
        <f t="shared" si="13"/>
        <v>868764.96555806906</v>
      </c>
      <c r="C56" s="678"/>
      <c r="D56" s="678">
        <f t="shared" si="18"/>
        <v>103.53774247061918</v>
      </c>
      <c r="E56" s="678"/>
      <c r="F56" s="678">
        <f t="shared" si="10"/>
        <v>868868.50330053968</v>
      </c>
      <c r="H56" s="681">
        <v>45454</v>
      </c>
      <c r="I56" s="678">
        <f t="shared" si="14"/>
        <v>1282961.7047825917</v>
      </c>
      <c r="J56" s="678"/>
      <c r="K56" s="678">
        <f t="shared" si="17"/>
        <v>152.90091550148696</v>
      </c>
      <c r="L56" s="678"/>
      <c r="M56" s="678">
        <f t="shared" si="16"/>
        <v>1283114.6056980931</v>
      </c>
      <c r="O56" s="681">
        <v>45454</v>
      </c>
      <c r="P56" s="678">
        <f t="shared" si="15"/>
        <v>15650.662787377287</v>
      </c>
      <c r="Q56" s="678"/>
      <c r="R56" s="678">
        <f t="shared" si="19"/>
        <v>1.8652159760298956</v>
      </c>
      <c r="S56" s="678"/>
      <c r="T56" s="680">
        <f t="shared" si="12"/>
        <v>15652.528003353316</v>
      </c>
    </row>
    <row r="57" spans="1:20">
      <c r="A57" s="681">
        <v>45455</v>
      </c>
      <c r="B57" s="678">
        <f t="shared" si="13"/>
        <v>868868.50330053968</v>
      </c>
      <c r="C57" s="678"/>
      <c r="D57" s="678">
        <f t="shared" si="18"/>
        <v>103.55008190020131</v>
      </c>
      <c r="E57" s="678"/>
      <c r="F57" s="678">
        <f t="shared" si="10"/>
        <v>868972.05338243989</v>
      </c>
      <c r="H57" s="681">
        <v>45455</v>
      </c>
      <c r="I57" s="678">
        <f t="shared" si="14"/>
        <v>1283114.6056980931</v>
      </c>
      <c r="J57" s="678"/>
      <c r="K57" s="678">
        <f t="shared" si="17"/>
        <v>152.91913793936178</v>
      </c>
      <c r="L57" s="678"/>
      <c r="M57" s="678">
        <f t="shared" si="16"/>
        <v>1283267.5248360324</v>
      </c>
      <c r="O57" s="681">
        <v>45455</v>
      </c>
      <c r="P57" s="678">
        <f t="shared" si="15"/>
        <v>15652.528003353316</v>
      </c>
      <c r="Q57" s="678"/>
      <c r="R57" s="678">
        <f t="shared" si="19"/>
        <v>1.8654382688927924</v>
      </c>
      <c r="S57" s="678"/>
      <c r="T57" s="680">
        <f t="shared" si="12"/>
        <v>15654.393441622209</v>
      </c>
    </row>
    <row r="58" spans="1:20">
      <c r="A58" s="682">
        <v>45456</v>
      </c>
      <c r="B58" s="678">
        <f t="shared" si="13"/>
        <v>868972.05338243989</v>
      </c>
      <c r="C58" s="678"/>
      <c r="D58" s="678">
        <f t="shared" si="18"/>
        <v>103.56242280037297</v>
      </c>
      <c r="E58" s="678"/>
      <c r="F58" s="678">
        <f t="shared" si="10"/>
        <v>869075.61580524023</v>
      </c>
      <c r="H58" s="682">
        <v>45456</v>
      </c>
      <c r="I58" s="678">
        <f t="shared" si="14"/>
        <v>1283267.5248360324</v>
      </c>
      <c r="J58" s="678"/>
      <c r="K58" s="678">
        <f t="shared" si="17"/>
        <v>152.9373625489518</v>
      </c>
      <c r="L58" s="678"/>
      <c r="M58" s="678">
        <f t="shared" si="16"/>
        <v>1283420.4621985813</v>
      </c>
      <c r="O58" s="682">
        <v>45456</v>
      </c>
      <c r="P58" s="678">
        <f t="shared" si="15"/>
        <v>15654.393441622209</v>
      </c>
      <c r="Q58" s="678"/>
      <c r="R58" s="678">
        <f t="shared" si="19"/>
        <v>1.8656605882481263</v>
      </c>
      <c r="S58" s="678"/>
      <c r="T58" s="680">
        <f t="shared" si="12"/>
        <v>15656.259102210457</v>
      </c>
    </row>
    <row r="59" spans="1:20">
      <c r="A59" s="681">
        <v>45457</v>
      </c>
      <c r="B59" s="678">
        <f t="shared" si="13"/>
        <v>869075.61580524023</v>
      </c>
      <c r="C59" s="678"/>
      <c r="D59" s="678">
        <f t="shared" si="18"/>
        <v>103.57476517130945</v>
      </c>
      <c r="E59" s="678"/>
      <c r="F59" s="678">
        <f t="shared" si="10"/>
        <v>869179.19057041151</v>
      </c>
      <c r="H59" s="681">
        <v>45457</v>
      </c>
      <c r="I59" s="678">
        <f t="shared" si="14"/>
        <v>1283420.4621985813</v>
      </c>
      <c r="J59" s="678"/>
      <c r="K59" s="678">
        <f t="shared" si="17"/>
        <v>152.95558933051583</v>
      </c>
      <c r="L59" s="678"/>
      <c r="M59" s="678">
        <f t="shared" si="16"/>
        <v>1283573.4177879118</v>
      </c>
      <c r="O59" s="681">
        <v>45457</v>
      </c>
      <c r="P59" s="678">
        <f t="shared" si="15"/>
        <v>15656.259102210457</v>
      </c>
      <c r="Q59" s="678"/>
      <c r="R59" s="678">
        <f t="shared" si="19"/>
        <v>1.8658829340990544</v>
      </c>
      <c r="S59" s="678"/>
      <c r="T59" s="680">
        <f t="shared" si="12"/>
        <v>15658.124985144555</v>
      </c>
    </row>
    <row r="60" spans="1:20">
      <c r="A60" s="681">
        <v>45458</v>
      </c>
      <c r="B60" s="678">
        <f t="shared" si="13"/>
        <v>869179.19057041151</v>
      </c>
      <c r="C60" s="678"/>
      <c r="D60" s="678">
        <f t="shared" si="18"/>
        <v>103.58710901318602</v>
      </c>
      <c r="E60" s="678"/>
      <c r="F60" s="678">
        <f t="shared" si="10"/>
        <v>869282.77767942473</v>
      </c>
      <c r="H60" s="681">
        <v>45458</v>
      </c>
      <c r="I60" s="678">
        <f t="shared" si="14"/>
        <v>1283573.4177879118</v>
      </c>
      <c r="J60" s="678"/>
      <c r="K60" s="678">
        <f t="shared" si="17"/>
        <v>152.97381828431278</v>
      </c>
      <c r="L60" s="678"/>
      <c r="M60" s="678">
        <f t="shared" si="16"/>
        <v>1283726.3916061961</v>
      </c>
      <c r="O60" s="681">
        <v>45458</v>
      </c>
      <c r="P60" s="678">
        <f t="shared" si="15"/>
        <v>15658.124985144555</v>
      </c>
      <c r="Q60" s="678"/>
      <c r="R60" s="678">
        <f t="shared" si="19"/>
        <v>1.8661053064487345</v>
      </c>
      <c r="S60" s="678"/>
      <c r="T60" s="680">
        <f t="shared" si="12"/>
        <v>15659.991090451003</v>
      </c>
    </row>
    <row r="61" spans="1:20">
      <c r="A61" s="681">
        <v>45459</v>
      </c>
      <c r="B61" s="678">
        <f t="shared" si="13"/>
        <v>869282.77767942473</v>
      </c>
      <c r="C61" s="678"/>
      <c r="D61" s="678">
        <f t="shared" si="18"/>
        <v>103.59945432617801</v>
      </c>
      <c r="E61" s="678"/>
      <c r="F61" s="678">
        <f t="shared" si="10"/>
        <v>869386.37713375094</v>
      </c>
      <c r="H61" s="681">
        <v>45459</v>
      </c>
      <c r="I61" s="678">
        <f t="shared" si="14"/>
        <v>1283726.3916061961</v>
      </c>
      <c r="J61" s="678"/>
      <c r="K61" s="678">
        <f t="shared" si="17"/>
        <v>152.99204941060142</v>
      </c>
      <c r="L61" s="678"/>
      <c r="M61" s="678">
        <f t="shared" si="16"/>
        <v>1283879.3836556068</v>
      </c>
      <c r="O61" s="681">
        <v>45459</v>
      </c>
      <c r="P61" s="678">
        <f t="shared" si="15"/>
        <v>15659.991090451003</v>
      </c>
      <c r="Q61" s="678"/>
      <c r="R61" s="678">
        <f t="shared" si="19"/>
        <v>1.8663277053003251</v>
      </c>
      <c r="S61" s="678"/>
      <c r="T61" s="680">
        <f t="shared" si="12"/>
        <v>15661.857418156304</v>
      </c>
    </row>
    <row r="62" spans="1:20">
      <c r="A62" s="681">
        <v>45460</v>
      </c>
      <c r="B62" s="678">
        <f t="shared" si="13"/>
        <v>869386.37713375094</v>
      </c>
      <c r="C62" s="678"/>
      <c r="D62" s="678">
        <f t="shared" si="18"/>
        <v>103.61180111046072</v>
      </c>
      <c r="E62" s="678"/>
      <c r="F62" s="678">
        <f t="shared" si="10"/>
        <v>869489.98893486138</v>
      </c>
      <c r="H62" s="681">
        <v>45460</v>
      </c>
      <c r="I62" s="678">
        <f t="shared" si="14"/>
        <v>1283879.3836556068</v>
      </c>
      <c r="J62" s="678"/>
      <c r="K62" s="678">
        <f t="shared" si="17"/>
        <v>153.01028270964079</v>
      </c>
      <c r="L62" s="678"/>
      <c r="M62" s="678">
        <f t="shared" si="16"/>
        <v>1284032.3939383165</v>
      </c>
      <c r="O62" s="681">
        <v>45460</v>
      </c>
      <c r="P62" s="678">
        <f t="shared" si="15"/>
        <v>15661.857418156304</v>
      </c>
      <c r="Q62" s="678"/>
      <c r="R62" s="678">
        <f t="shared" si="19"/>
        <v>1.8665501306569841</v>
      </c>
      <c r="S62" s="678"/>
      <c r="T62" s="680">
        <f t="shared" si="12"/>
        <v>15663.72396828696</v>
      </c>
    </row>
    <row r="63" spans="1:20">
      <c r="A63" s="682">
        <v>45461</v>
      </c>
      <c r="B63" s="678">
        <f t="shared" si="13"/>
        <v>869489.98893486138</v>
      </c>
      <c r="C63" s="678"/>
      <c r="D63" s="678">
        <f t="shared" si="18"/>
        <v>103.62414936620951</v>
      </c>
      <c r="E63" s="678"/>
      <c r="F63" s="678">
        <f t="shared" si="10"/>
        <v>869593.61308422755</v>
      </c>
      <c r="H63" s="682">
        <v>45461</v>
      </c>
      <c r="I63" s="678">
        <f t="shared" si="14"/>
        <v>1284032.3939383165</v>
      </c>
      <c r="J63" s="678"/>
      <c r="K63" s="678">
        <f t="shared" si="17"/>
        <v>153.02851818168975</v>
      </c>
      <c r="L63" s="678"/>
      <c r="M63" s="678">
        <f t="shared" si="16"/>
        <v>1284185.4224564983</v>
      </c>
      <c r="O63" s="682">
        <v>45461</v>
      </c>
      <c r="P63" s="678">
        <f t="shared" si="15"/>
        <v>15663.72396828696</v>
      </c>
      <c r="Q63" s="678"/>
      <c r="R63" s="678">
        <f t="shared" si="19"/>
        <v>1.8667725825218704</v>
      </c>
      <c r="S63" s="678"/>
      <c r="T63" s="680">
        <f t="shared" si="12"/>
        <v>15665.590740869482</v>
      </c>
    </row>
    <row r="64" spans="1:20">
      <c r="A64" s="681">
        <v>45462</v>
      </c>
      <c r="B64" s="678">
        <f t="shared" si="13"/>
        <v>869593.61308422755</v>
      </c>
      <c r="C64" s="678"/>
      <c r="D64" s="678">
        <f t="shared" si="18"/>
        <v>103.63649909359972</v>
      </c>
      <c r="E64" s="678"/>
      <c r="F64" s="678">
        <f t="shared" si="10"/>
        <v>869697.24958332116</v>
      </c>
      <c r="H64" s="681">
        <v>45462</v>
      </c>
      <c r="I64" s="678">
        <f t="shared" si="14"/>
        <v>1284185.4224564983</v>
      </c>
      <c r="J64" s="678"/>
      <c r="K64" s="678">
        <f t="shared" si="17"/>
        <v>153.0467558270073</v>
      </c>
      <c r="L64" s="678"/>
      <c r="M64" s="678">
        <f t="shared" si="16"/>
        <v>1284338.4692123253</v>
      </c>
      <c r="O64" s="681">
        <v>45462</v>
      </c>
      <c r="P64" s="678">
        <f t="shared" si="15"/>
        <v>15665.590740869482</v>
      </c>
      <c r="Q64" s="678"/>
      <c r="R64" s="678">
        <f t="shared" si="19"/>
        <v>1.8669950608981436</v>
      </c>
      <c r="S64" s="678"/>
      <c r="T64" s="680">
        <f t="shared" si="12"/>
        <v>15667.45773593038</v>
      </c>
    </row>
    <row r="65" spans="1:20">
      <c r="A65" s="681">
        <v>45463</v>
      </c>
      <c r="B65" s="678">
        <f t="shared" si="13"/>
        <v>869697.24958332116</v>
      </c>
      <c r="C65" s="678"/>
      <c r="D65" s="678">
        <f t="shared" si="18"/>
        <v>103.64885029280676</v>
      </c>
      <c r="E65" s="678"/>
      <c r="F65" s="678">
        <f t="shared" si="10"/>
        <v>869800.89843361394</v>
      </c>
      <c r="H65" s="681">
        <v>45463</v>
      </c>
      <c r="I65" s="678">
        <f t="shared" si="14"/>
        <v>1284338.4692123253</v>
      </c>
      <c r="J65" s="678"/>
      <c r="K65" s="678">
        <f t="shared" si="17"/>
        <v>153.06499564585243</v>
      </c>
      <c r="L65" s="678"/>
      <c r="M65" s="678">
        <f t="shared" si="16"/>
        <v>1284491.5342079711</v>
      </c>
      <c r="O65" s="681">
        <v>45463</v>
      </c>
      <c r="P65" s="678">
        <f t="shared" si="15"/>
        <v>15667.45773593038</v>
      </c>
      <c r="Q65" s="678"/>
      <c r="R65" s="678">
        <f t="shared" si="19"/>
        <v>1.8672175657889629</v>
      </c>
      <c r="S65" s="678"/>
      <c r="T65" s="680">
        <f t="shared" si="12"/>
        <v>15669.324953496169</v>
      </c>
    </row>
    <row r="66" spans="1:20">
      <c r="A66" s="681">
        <v>45464</v>
      </c>
      <c r="B66" s="678">
        <f t="shared" si="13"/>
        <v>869800.89843361394</v>
      </c>
      <c r="C66" s="678"/>
      <c r="D66" s="678">
        <f t="shared" si="18"/>
        <v>103.66120296400605</v>
      </c>
      <c r="E66" s="678"/>
      <c r="F66" s="678">
        <f t="shared" si="10"/>
        <v>869904.55963657796</v>
      </c>
      <c r="H66" s="681">
        <v>45464</v>
      </c>
      <c r="I66" s="678">
        <f t="shared" si="14"/>
        <v>1284491.5342079711</v>
      </c>
      <c r="J66" s="678"/>
      <c r="K66" s="678">
        <f t="shared" si="17"/>
        <v>153.08323763848421</v>
      </c>
      <c r="L66" s="678"/>
      <c r="M66" s="678">
        <f t="shared" si="16"/>
        <v>1284644.6174456095</v>
      </c>
      <c r="O66" s="681">
        <v>45464</v>
      </c>
      <c r="P66" s="678">
        <f t="shared" si="15"/>
        <v>15669.324953496169</v>
      </c>
      <c r="Q66" s="678"/>
      <c r="R66" s="678">
        <f t="shared" si="19"/>
        <v>1.8674400971974885</v>
      </c>
      <c r="S66" s="678"/>
      <c r="T66" s="680">
        <f t="shared" si="12"/>
        <v>15671.192393593366</v>
      </c>
    </row>
    <row r="67" spans="1:20">
      <c r="A67" s="682">
        <v>45465</v>
      </c>
      <c r="B67" s="678">
        <f t="shared" si="13"/>
        <v>869904.55963657796</v>
      </c>
      <c r="C67" s="678"/>
      <c r="D67" s="678">
        <f t="shared" si="18"/>
        <v>103.67355710737299</v>
      </c>
      <c r="E67" s="678"/>
      <c r="F67" s="678">
        <f t="shared" si="10"/>
        <v>870008.2331936853</v>
      </c>
      <c r="H67" s="682">
        <v>45465</v>
      </c>
      <c r="I67" s="678">
        <f t="shared" si="14"/>
        <v>1284644.6174456095</v>
      </c>
      <c r="J67" s="678"/>
      <c r="K67" s="678">
        <f t="shared" si="17"/>
        <v>153.10148180516165</v>
      </c>
      <c r="L67" s="678"/>
      <c r="M67" s="678">
        <f t="shared" si="16"/>
        <v>1284797.7189274146</v>
      </c>
      <c r="O67" s="682">
        <v>45465</v>
      </c>
      <c r="P67" s="678">
        <f t="shared" si="15"/>
        <v>15671.192393593366</v>
      </c>
      <c r="Q67" s="678"/>
      <c r="R67" s="678">
        <f t="shared" si="19"/>
        <v>1.8676626551268805</v>
      </c>
      <c r="S67" s="678"/>
      <c r="T67" s="680">
        <f t="shared" si="12"/>
        <v>15673.060056248494</v>
      </c>
    </row>
    <row r="68" spans="1:20">
      <c r="A68" s="681">
        <v>45466</v>
      </c>
      <c r="B68" s="678">
        <f t="shared" si="13"/>
        <v>870008.2331936853</v>
      </c>
      <c r="C68" s="678"/>
      <c r="D68" s="678">
        <f t="shared" si="18"/>
        <v>103.68591272308304</v>
      </c>
      <c r="E68" s="678"/>
      <c r="F68" s="678">
        <f t="shared" si="10"/>
        <v>870111.91910640837</v>
      </c>
      <c r="H68" s="681">
        <v>45466</v>
      </c>
      <c r="I68" s="678">
        <f t="shared" si="14"/>
        <v>1284797.7189274146</v>
      </c>
      <c r="J68" s="678"/>
      <c r="K68" s="678">
        <f t="shared" si="17"/>
        <v>153.11972814614393</v>
      </c>
      <c r="L68" s="678"/>
      <c r="M68" s="678">
        <f t="shared" si="16"/>
        <v>1284950.8386555607</v>
      </c>
      <c r="O68" s="681">
        <v>45466</v>
      </c>
      <c r="P68" s="678">
        <f t="shared" si="15"/>
        <v>15673.060056248494</v>
      </c>
      <c r="Q68" s="678"/>
      <c r="R68" s="678">
        <f t="shared" si="19"/>
        <v>1.8678852395802998</v>
      </c>
      <c r="S68" s="678"/>
      <c r="T68" s="680">
        <f t="shared" si="12"/>
        <v>15674.927941488075</v>
      </c>
    </row>
    <row r="69" spans="1:20">
      <c r="A69" s="681">
        <v>45467</v>
      </c>
      <c r="B69" s="678">
        <f t="shared" si="13"/>
        <v>870111.91910640837</v>
      </c>
      <c r="C69" s="678"/>
      <c r="D69" s="678">
        <f t="shared" si="18"/>
        <v>103.69826981131168</v>
      </c>
      <c r="E69" s="678"/>
      <c r="F69" s="678">
        <f t="shared" si="10"/>
        <v>870215.61737621971</v>
      </c>
      <c r="H69" s="681">
        <v>45467</v>
      </c>
      <c r="I69" s="678">
        <f t="shared" si="14"/>
        <v>1284950.8386555607</v>
      </c>
      <c r="J69" s="678"/>
      <c r="K69" s="678">
        <f t="shared" si="17"/>
        <v>153.13797666169012</v>
      </c>
      <c r="L69" s="678"/>
      <c r="M69" s="678">
        <f t="shared" si="16"/>
        <v>1285103.9766322225</v>
      </c>
      <c r="O69" s="681">
        <v>45467</v>
      </c>
      <c r="P69" s="678">
        <f t="shared" si="15"/>
        <v>15674.927941488075</v>
      </c>
      <c r="Q69" s="678"/>
      <c r="R69" s="678">
        <f t="shared" si="19"/>
        <v>1.8681078505609074</v>
      </c>
      <c r="S69" s="678"/>
      <c r="T69" s="680">
        <f t="shared" si="12"/>
        <v>15676.796049338636</v>
      </c>
    </row>
    <row r="70" spans="1:20">
      <c r="A70" s="681">
        <v>45468</v>
      </c>
      <c r="B70" s="678">
        <f t="shared" si="13"/>
        <v>870215.61737621971</v>
      </c>
      <c r="C70" s="678"/>
      <c r="D70" s="678">
        <f t="shared" si="18"/>
        <v>103.7106283722344</v>
      </c>
      <c r="E70" s="678"/>
      <c r="F70" s="678">
        <f t="shared" si="10"/>
        <v>870319.32800459198</v>
      </c>
      <c r="H70" s="681">
        <v>45468</v>
      </c>
      <c r="I70" s="678">
        <f t="shared" si="14"/>
        <v>1285103.9766322225</v>
      </c>
      <c r="J70" s="678"/>
      <c r="K70" s="678">
        <f t="shared" si="17"/>
        <v>153.1562273520594</v>
      </c>
      <c r="L70" s="678"/>
      <c r="M70" s="678">
        <f t="shared" si="16"/>
        <v>1285257.1328595746</v>
      </c>
      <c r="O70" s="681">
        <v>45468</v>
      </c>
      <c r="P70" s="678">
        <f t="shared" si="15"/>
        <v>15676.796049338636</v>
      </c>
      <c r="Q70" s="678"/>
      <c r="R70" s="678">
        <f t="shared" si="19"/>
        <v>1.8683304880718647</v>
      </c>
      <c r="S70" s="678"/>
      <c r="T70" s="680">
        <f t="shared" si="12"/>
        <v>15678.664379826709</v>
      </c>
    </row>
    <row r="71" spans="1:20">
      <c r="A71" s="681">
        <v>45469</v>
      </c>
      <c r="B71" s="678">
        <f t="shared" si="13"/>
        <v>870319.32800459198</v>
      </c>
      <c r="C71" s="678"/>
      <c r="D71" s="678">
        <f t="shared" si="18"/>
        <v>103.72298840602672</v>
      </c>
      <c r="E71" s="678"/>
      <c r="F71" s="678">
        <f t="shared" si="10"/>
        <v>870423.05099299806</v>
      </c>
      <c r="H71" s="681">
        <v>45469</v>
      </c>
      <c r="I71" s="678">
        <f t="shared" si="14"/>
        <v>1285257.1328595746</v>
      </c>
      <c r="J71" s="678"/>
      <c r="K71" s="678">
        <f t="shared" si="17"/>
        <v>153.17448021751093</v>
      </c>
      <c r="L71" s="678"/>
      <c r="M71" s="678">
        <f t="shared" si="16"/>
        <v>1285410.3073397921</v>
      </c>
      <c r="O71" s="681">
        <v>45469</v>
      </c>
      <c r="P71" s="678">
        <f t="shared" si="15"/>
        <v>15678.664379826709</v>
      </c>
      <c r="Q71" s="678"/>
      <c r="R71" s="678">
        <f t="shared" si="19"/>
        <v>1.8685531521163337</v>
      </c>
      <c r="S71" s="678"/>
      <c r="T71" s="680">
        <f t="shared" si="12"/>
        <v>15680.532932978826</v>
      </c>
    </row>
    <row r="72" spans="1:20">
      <c r="A72" s="682">
        <v>45470</v>
      </c>
      <c r="B72" s="678">
        <f t="shared" si="13"/>
        <v>870423.05099299806</v>
      </c>
      <c r="C72" s="678"/>
      <c r="D72" s="678">
        <f t="shared" si="18"/>
        <v>103.73534991286415</v>
      </c>
      <c r="E72" s="678"/>
      <c r="F72" s="678">
        <f t="shared" si="10"/>
        <v>870526.78634291096</v>
      </c>
      <c r="H72" s="682">
        <v>45470</v>
      </c>
      <c r="I72" s="678">
        <f t="shared" si="14"/>
        <v>1285410.3073397921</v>
      </c>
      <c r="J72" s="678"/>
      <c r="K72" s="678">
        <f t="shared" si="17"/>
        <v>153.19273525830397</v>
      </c>
      <c r="L72" s="678"/>
      <c r="M72" s="678">
        <f t="shared" si="16"/>
        <v>1285563.5000750504</v>
      </c>
      <c r="O72" s="682">
        <v>45470</v>
      </c>
      <c r="P72" s="678">
        <f t="shared" si="15"/>
        <v>15680.532932978826</v>
      </c>
      <c r="Q72" s="678"/>
      <c r="R72" s="678">
        <f t="shared" si="19"/>
        <v>1.8687758426974765</v>
      </c>
      <c r="S72" s="678"/>
      <c r="T72" s="680">
        <f t="shared" si="12"/>
        <v>15682.401708821522</v>
      </c>
    </row>
    <row r="73" spans="1:20">
      <c r="A73" s="681">
        <v>45471</v>
      </c>
      <c r="B73" s="678">
        <f t="shared" si="13"/>
        <v>870526.78634291096</v>
      </c>
      <c r="C73" s="678"/>
      <c r="D73" s="678">
        <f t="shared" si="18"/>
        <v>103.74771289292225</v>
      </c>
      <c r="E73" s="678"/>
      <c r="F73" s="678">
        <f t="shared" si="10"/>
        <v>870630.5340558039</v>
      </c>
      <c r="H73" s="681">
        <v>45471</v>
      </c>
      <c r="I73" s="678">
        <f t="shared" si="14"/>
        <v>1285563.5000750504</v>
      </c>
      <c r="J73" s="678"/>
      <c r="K73" s="678">
        <f t="shared" si="17"/>
        <v>153.21099247469778</v>
      </c>
      <c r="L73" s="678"/>
      <c r="M73" s="678">
        <f t="shared" si="16"/>
        <v>1285716.7110675252</v>
      </c>
      <c r="O73" s="681">
        <v>45471</v>
      </c>
      <c r="P73" s="678">
        <f t="shared" si="15"/>
        <v>15682.401708821522</v>
      </c>
      <c r="Q73" s="678"/>
      <c r="R73" s="678">
        <f t="shared" si="19"/>
        <v>1.8689985598184553</v>
      </c>
      <c r="S73" s="678"/>
      <c r="T73" s="680">
        <f t="shared" si="12"/>
        <v>15684.27070738134</v>
      </c>
    </row>
    <row r="74" spans="1:20">
      <c r="A74" s="681">
        <v>45472</v>
      </c>
      <c r="B74" s="678">
        <f t="shared" si="13"/>
        <v>870630.5340558039</v>
      </c>
      <c r="C74" s="678"/>
      <c r="D74" s="678">
        <f t="shared" si="18"/>
        <v>103.76007734637662</v>
      </c>
      <c r="E74" s="678">
        <v>60000.1</v>
      </c>
      <c r="F74" s="678">
        <f t="shared" si="10"/>
        <v>810734.19413315027</v>
      </c>
      <c r="H74" s="681">
        <v>45472</v>
      </c>
      <c r="I74" s="678">
        <f t="shared" si="14"/>
        <v>1285716.7110675252</v>
      </c>
      <c r="J74" s="678"/>
      <c r="K74" s="678">
        <f t="shared" si="17"/>
        <v>153.22925186695164</v>
      </c>
      <c r="L74" s="678"/>
      <c r="M74" s="678">
        <f t="shared" si="16"/>
        <v>1285869.9403193921</v>
      </c>
      <c r="O74" s="681">
        <v>45472</v>
      </c>
      <c r="P74" s="678">
        <f t="shared" si="15"/>
        <v>15684.27070738134</v>
      </c>
      <c r="Q74" s="678"/>
      <c r="R74" s="678">
        <f t="shared" si="19"/>
        <v>1.8692213034824334</v>
      </c>
      <c r="S74" s="678"/>
      <c r="T74" s="680">
        <f t="shared" si="12"/>
        <v>15686.139928684823</v>
      </c>
    </row>
    <row r="75" spans="1:20" ht="12" thickBot="1">
      <c r="A75" s="702">
        <v>45473</v>
      </c>
      <c r="B75" s="678">
        <f t="shared" si="13"/>
        <v>810734.19413315027</v>
      </c>
      <c r="C75" s="678"/>
      <c r="D75" s="678">
        <f t="shared" si="18"/>
        <v>96.62174642408776</v>
      </c>
      <c r="E75" s="678"/>
      <c r="F75" s="678">
        <f t="shared" si="10"/>
        <v>810830.81587957439</v>
      </c>
      <c r="H75" s="702">
        <v>45473</v>
      </c>
      <c r="I75" s="678">
        <f t="shared" si="14"/>
        <v>1285869.9403193921</v>
      </c>
      <c r="J75" s="678"/>
      <c r="K75" s="678">
        <f t="shared" si="17"/>
        <v>153.24751343532481</v>
      </c>
      <c r="L75" s="678">
        <f>+'YE Projections'!F107</f>
        <v>7086.81</v>
      </c>
      <c r="M75" s="678">
        <f t="shared" si="16"/>
        <v>1278936.3778328274</v>
      </c>
      <c r="O75" s="702">
        <v>45473</v>
      </c>
      <c r="P75" s="678">
        <f t="shared" si="15"/>
        <v>15686.139928684823</v>
      </c>
      <c r="Q75" s="678"/>
      <c r="R75" s="678">
        <f t="shared" si="19"/>
        <v>1.8694440736925746</v>
      </c>
      <c r="S75" s="678"/>
      <c r="T75" s="680">
        <f t="shared" si="12"/>
        <v>15688.009372758515</v>
      </c>
    </row>
    <row r="76" spans="1:20" s="340" customFormat="1">
      <c r="A76" s="708"/>
      <c r="B76" s="709"/>
      <c r="C76" s="709"/>
      <c r="D76" s="709">
        <f>SUM(D5:D75)</f>
        <v>40860.185879574012</v>
      </c>
      <c r="E76" s="709"/>
      <c r="F76" s="709"/>
      <c r="G76" s="710"/>
      <c r="H76" s="708"/>
      <c r="I76" s="709"/>
      <c r="J76" s="709"/>
      <c r="K76" s="709">
        <f>SUM(K5:K75)</f>
        <v>60098.927832826223</v>
      </c>
      <c r="L76" s="709"/>
      <c r="M76" s="709"/>
      <c r="N76" s="710"/>
      <c r="O76" s="708"/>
      <c r="P76" s="709"/>
      <c r="Q76" s="709"/>
      <c r="R76" s="709">
        <f>SUM(R5:R75)</f>
        <v>688.00937275851766</v>
      </c>
      <c r="S76" s="709"/>
      <c r="T76" s="711"/>
    </row>
    <row r="77" spans="1:20" s="340" customFormat="1">
      <c r="A77" s="705"/>
      <c r="B77" s="706"/>
      <c r="C77" s="706"/>
      <c r="D77" s="706"/>
      <c r="E77" s="706"/>
      <c r="F77" s="706"/>
      <c r="H77" s="705"/>
      <c r="I77" s="706"/>
      <c r="J77" s="706"/>
      <c r="K77" s="706"/>
      <c r="L77" s="706"/>
      <c r="M77" s="706"/>
      <c r="O77" s="705"/>
      <c r="P77" s="706"/>
      <c r="Q77" s="706"/>
      <c r="R77" s="706"/>
      <c r="S77" s="706"/>
      <c r="T77" s="707"/>
    </row>
    <row r="78" spans="1:20" s="340" customFormat="1">
      <c r="A78" s="705"/>
      <c r="B78" s="706"/>
      <c r="C78" s="706"/>
      <c r="D78" s="706"/>
      <c r="E78" s="706"/>
      <c r="F78" s="706"/>
      <c r="H78" s="705"/>
      <c r="I78" s="706"/>
      <c r="J78" s="706"/>
      <c r="K78" s="706"/>
      <c r="L78" s="706"/>
      <c r="M78" s="706"/>
      <c r="O78" s="705"/>
      <c r="P78" s="706"/>
      <c r="Q78" s="706"/>
      <c r="R78" s="706"/>
      <c r="S78" s="706"/>
      <c r="T78" s="707"/>
    </row>
    <row r="79" spans="1:20">
      <c r="A79" s="682">
        <v>45474</v>
      </c>
      <c r="B79" s="701">
        <f>+F75</f>
        <v>810830.81587957439</v>
      </c>
      <c r="C79" s="675"/>
      <c r="D79" s="675">
        <f t="shared" si="18"/>
        <v>96.633261618524614</v>
      </c>
      <c r="E79" s="675"/>
      <c r="F79" s="675">
        <f t="shared" ref="F79:F136" si="20">+B79+C79+D79-E79</f>
        <v>810927.44914119295</v>
      </c>
      <c r="H79" s="682">
        <v>45474</v>
      </c>
      <c r="I79" s="675">
        <f>+M75</f>
        <v>1278936.3778328274</v>
      </c>
      <c r="J79" s="675"/>
      <c r="K79" s="675">
        <f t="shared" si="17"/>
        <v>152.42118475541915</v>
      </c>
      <c r="L79" s="675"/>
      <c r="M79" s="675">
        <f t="shared" ref="M79:M136" si="21">+I79+J79+K79-L79</f>
        <v>1279088.7990175828</v>
      </c>
      <c r="O79" s="682">
        <v>45474</v>
      </c>
      <c r="P79" s="675">
        <f>+T75</f>
        <v>15688.009372758515</v>
      </c>
      <c r="Q79" s="675"/>
      <c r="R79" s="675">
        <f t="shared" si="19"/>
        <v>1.8696668704520421</v>
      </c>
      <c r="S79" s="675"/>
      <c r="T79" s="676">
        <f t="shared" ref="T79:T141" si="22">+P79+Q79+R79-S79</f>
        <v>15689.879039628968</v>
      </c>
    </row>
    <row r="80" spans="1:20">
      <c r="A80" s="681">
        <v>45475</v>
      </c>
      <c r="B80" s="678">
        <f t="shared" ref="B80:B136" si="23">+F79</f>
        <v>810927.44914119295</v>
      </c>
      <c r="C80" s="678"/>
      <c r="D80" s="678">
        <f t="shared" si="18"/>
        <v>96.644778185320234</v>
      </c>
      <c r="E80" s="678"/>
      <c r="F80" s="678">
        <f t="shared" si="20"/>
        <v>811024.09391937824</v>
      </c>
      <c r="H80" s="681">
        <v>45475</v>
      </c>
      <c r="I80" s="678">
        <f t="shared" ref="I80:I136" si="24">+M79</f>
        <v>1279088.7990175828</v>
      </c>
      <c r="J80" s="678"/>
      <c r="K80" s="678">
        <f t="shared" si="17"/>
        <v>152.43935001990369</v>
      </c>
      <c r="L80" s="678"/>
      <c r="M80" s="678">
        <f t="shared" si="21"/>
        <v>1279241.2383676027</v>
      </c>
      <c r="O80" s="681">
        <v>45475</v>
      </c>
      <c r="P80" s="678">
        <f t="shared" ref="P80:P142" si="25">+T79</f>
        <v>15689.879039628968</v>
      </c>
      <c r="Q80" s="678"/>
      <c r="R80" s="678">
        <f t="shared" si="19"/>
        <v>1.8698896937640002</v>
      </c>
      <c r="S80" s="678"/>
      <c r="T80" s="680">
        <f t="shared" si="22"/>
        <v>15691.748929322732</v>
      </c>
    </row>
    <row r="81" spans="1:20">
      <c r="A81" s="681">
        <v>45476</v>
      </c>
      <c r="B81" s="678">
        <f t="shared" si="23"/>
        <v>811024.09391937824</v>
      </c>
      <c r="C81" s="678"/>
      <c r="D81" s="678">
        <f t="shared" si="18"/>
        <v>96.656296124638217</v>
      </c>
      <c r="E81" s="678"/>
      <c r="F81" s="678">
        <f t="shared" si="20"/>
        <v>811120.75021550292</v>
      </c>
      <c r="H81" s="681">
        <v>45476</v>
      </c>
      <c r="I81" s="678">
        <f t="shared" si="24"/>
        <v>1279241.2383676027</v>
      </c>
      <c r="J81" s="678"/>
      <c r="K81" s="678">
        <f t="shared" si="17"/>
        <v>152.45751744928964</v>
      </c>
      <c r="L81" s="678"/>
      <c r="M81" s="678">
        <f t="shared" si="21"/>
        <v>1279393.695885052</v>
      </c>
      <c r="O81" s="681">
        <v>45476</v>
      </c>
      <c r="P81" s="678">
        <f t="shared" si="25"/>
        <v>15691.748929322732</v>
      </c>
      <c r="Q81" s="678"/>
      <c r="R81" s="678">
        <f t="shared" si="19"/>
        <v>1.8701125436316131</v>
      </c>
      <c r="S81" s="678"/>
      <c r="T81" s="680">
        <f t="shared" si="22"/>
        <v>15693.619041866363</v>
      </c>
    </row>
    <row r="82" spans="1:20">
      <c r="A82" s="681">
        <v>45477</v>
      </c>
      <c r="B82" s="678">
        <f t="shared" si="23"/>
        <v>811120.75021550292</v>
      </c>
      <c r="C82" s="678"/>
      <c r="D82" s="678">
        <f t="shared" si="18"/>
        <v>96.667815436642115</v>
      </c>
      <c r="E82" s="678"/>
      <c r="F82" s="678">
        <f t="shared" si="20"/>
        <v>811217.41803093953</v>
      </c>
      <c r="H82" s="681">
        <v>45477</v>
      </c>
      <c r="I82" s="678">
        <f t="shared" si="24"/>
        <v>1279393.695885052</v>
      </c>
      <c r="J82" s="678"/>
      <c r="K82" s="678">
        <f t="shared" ref="K82:K145" si="26">SUM(I82*$K$1)/365</f>
        <v>152.47568704383497</v>
      </c>
      <c r="L82" s="678"/>
      <c r="M82" s="678">
        <f t="shared" si="21"/>
        <v>1279546.1715720957</v>
      </c>
      <c r="O82" s="681">
        <v>45477</v>
      </c>
      <c r="P82" s="678">
        <f t="shared" si="25"/>
        <v>15693.619041866363</v>
      </c>
      <c r="Q82" s="678"/>
      <c r="R82" s="678">
        <f t="shared" si="19"/>
        <v>1.870335420058046</v>
      </c>
      <c r="S82" s="678"/>
      <c r="T82" s="680">
        <f t="shared" si="22"/>
        <v>15695.489377286422</v>
      </c>
    </row>
    <row r="83" spans="1:20">
      <c r="A83" s="681">
        <v>45478</v>
      </c>
      <c r="B83" s="678">
        <f t="shared" si="23"/>
        <v>811217.41803093953</v>
      </c>
      <c r="C83" s="678"/>
      <c r="D83" s="678">
        <f t="shared" ref="D83:D146" si="27">SUM(B83*$K$1)/365</f>
        <v>96.67933612149551</v>
      </c>
      <c r="E83" s="678"/>
      <c r="F83" s="678">
        <f t="shared" si="20"/>
        <v>811314.09736706107</v>
      </c>
      <c r="H83" s="681">
        <v>45478</v>
      </c>
      <c r="I83" s="678">
        <f t="shared" si="24"/>
        <v>1279546.1715720957</v>
      </c>
      <c r="J83" s="678"/>
      <c r="K83" s="678">
        <f t="shared" si="26"/>
        <v>152.49385880379771</v>
      </c>
      <c r="L83" s="678"/>
      <c r="M83" s="678">
        <f t="shared" si="21"/>
        <v>1279698.6654308995</v>
      </c>
      <c r="O83" s="681">
        <v>45478</v>
      </c>
      <c r="P83" s="678">
        <f t="shared" si="25"/>
        <v>15695.489377286422</v>
      </c>
      <c r="Q83" s="678"/>
      <c r="R83" s="678">
        <f t="shared" si="19"/>
        <v>1.8705583230464637</v>
      </c>
      <c r="S83" s="678">
        <f>+P83/12</f>
        <v>1307.9574481072018</v>
      </c>
      <c r="T83" s="680">
        <f t="shared" si="22"/>
        <v>14389.402487502266</v>
      </c>
    </row>
    <row r="84" spans="1:20">
      <c r="A84" s="682">
        <v>45479</v>
      </c>
      <c r="B84" s="678">
        <f t="shared" si="23"/>
        <v>811314.09736706107</v>
      </c>
      <c r="C84" s="678"/>
      <c r="D84" s="678">
        <f t="shared" si="27"/>
        <v>96.690858179362067</v>
      </c>
      <c r="E84" s="678"/>
      <c r="F84" s="678">
        <f t="shared" si="20"/>
        <v>811410.78822524042</v>
      </c>
      <c r="H84" s="682">
        <v>45479</v>
      </c>
      <c r="I84" s="678">
        <f t="shared" si="24"/>
        <v>1279698.6654308995</v>
      </c>
      <c r="J84" s="678"/>
      <c r="K84" s="678">
        <f t="shared" si="26"/>
        <v>152.51203272943596</v>
      </c>
      <c r="L84" s="678"/>
      <c r="M84" s="678">
        <f t="shared" si="21"/>
        <v>1279851.1774636288</v>
      </c>
      <c r="O84" s="682">
        <v>45479</v>
      </c>
      <c r="P84" s="678">
        <f t="shared" si="25"/>
        <v>14389.402487502266</v>
      </c>
      <c r="Q84" s="678"/>
      <c r="R84" s="678">
        <f t="shared" si="19"/>
        <v>1.7149013923461602</v>
      </c>
      <c r="S84" s="678"/>
      <c r="T84" s="680">
        <f t="shared" si="22"/>
        <v>14391.117388894612</v>
      </c>
    </row>
    <row r="85" spans="1:20">
      <c r="A85" s="681">
        <v>45480</v>
      </c>
      <c r="B85" s="678">
        <f t="shared" si="23"/>
        <v>811410.78822524042</v>
      </c>
      <c r="C85" s="678"/>
      <c r="D85" s="678">
        <f t="shared" si="27"/>
        <v>96.702381610405354</v>
      </c>
      <c r="E85" s="678"/>
      <c r="F85" s="678">
        <f t="shared" si="20"/>
        <v>811507.49060685083</v>
      </c>
      <c r="H85" s="681">
        <v>45480</v>
      </c>
      <c r="I85" s="678">
        <f t="shared" si="24"/>
        <v>1279851.1774636288</v>
      </c>
      <c r="J85" s="678"/>
      <c r="K85" s="678">
        <f t="shared" si="26"/>
        <v>152.53020882100782</v>
      </c>
      <c r="L85" s="678"/>
      <c r="M85" s="678">
        <f t="shared" si="21"/>
        <v>1280003.7076724498</v>
      </c>
      <c r="O85" s="681">
        <v>45480</v>
      </c>
      <c r="P85" s="678">
        <f t="shared" si="25"/>
        <v>14391.117388894612</v>
      </c>
      <c r="Q85" s="678"/>
      <c r="R85" s="678">
        <f t="shared" ref="R85:R148" si="28">SUM(P85*$K$1)/365</f>
        <v>1.715105771005248</v>
      </c>
      <c r="S85" s="678"/>
      <c r="T85" s="680">
        <f t="shared" si="22"/>
        <v>14392.832494665618</v>
      </c>
    </row>
    <row r="86" spans="1:20">
      <c r="A86" s="681">
        <v>45481</v>
      </c>
      <c r="B86" s="678">
        <f t="shared" si="23"/>
        <v>811507.49060685083</v>
      </c>
      <c r="C86" s="678"/>
      <c r="D86" s="678">
        <f t="shared" si="27"/>
        <v>96.713906414789065</v>
      </c>
      <c r="E86" s="678"/>
      <c r="F86" s="678">
        <f t="shared" si="20"/>
        <v>811604.20451326563</v>
      </c>
      <c r="H86" s="681">
        <v>45481</v>
      </c>
      <c r="I86" s="678">
        <f t="shared" si="24"/>
        <v>1280003.7076724498</v>
      </c>
      <c r="J86" s="678"/>
      <c r="K86" s="678">
        <f t="shared" si="26"/>
        <v>152.54838707877141</v>
      </c>
      <c r="L86" s="678"/>
      <c r="M86" s="678">
        <f t="shared" si="21"/>
        <v>1280156.2560595286</v>
      </c>
      <c r="O86" s="681">
        <v>45481</v>
      </c>
      <c r="P86" s="678">
        <f t="shared" si="25"/>
        <v>14392.832494665618</v>
      </c>
      <c r="Q86" s="678"/>
      <c r="R86" s="678">
        <f t="shared" si="28"/>
        <v>1.7153101740217924</v>
      </c>
      <c r="S86" s="678"/>
      <c r="T86" s="680">
        <f t="shared" si="22"/>
        <v>14394.54780483964</v>
      </c>
    </row>
    <row r="87" spans="1:20">
      <c r="A87" s="681">
        <v>45482</v>
      </c>
      <c r="B87" s="678">
        <f t="shared" si="23"/>
        <v>811604.20451326563</v>
      </c>
      <c r="C87" s="678"/>
      <c r="D87" s="678">
        <f t="shared" si="27"/>
        <v>96.725432592676853</v>
      </c>
      <c r="E87" s="678"/>
      <c r="F87" s="678">
        <f t="shared" si="20"/>
        <v>811700.92994585831</v>
      </c>
      <c r="H87" s="681">
        <v>45482</v>
      </c>
      <c r="I87" s="678">
        <f t="shared" si="24"/>
        <v>1280156.2560595286</v>
      </c>
      <c r="J87" s="678"/>
      <c r="K87" s="678">
        <f t="shared" si="26"/>
        <v>152.5665675029849</v>
      </c>
      <c r="L87" s="678"/>
      <c r="M87" s="678">
        <f t="shared" si="21"/>
        <v>1280308.8226270315</v>
      </c>
      <c r="O87" s="681">
        <v>45482</v>
      </c>
      <c r="P87" s="678">
        <f t="shared" si="25"/>
        <v>14394.54780483964</v>
      </c>
      <c r="Q87" s="678"/>
      <c r="R87" s="678">
        <f t="shared" si="28"/>
        <v>1.7155146013986966</v>
      </c>
      <c r="S87" s="678"/>
      <c r="T87" s="680">
        <f t="shared" si="22"/>
        <v>14396.263319441039</v>
      </c>
    </row>
    <row r="88" spans="1:20">
      <c r="A88" s="682">
        <v>45483</v>
      </c>
      <c r="B88" s="678">
        <f t="shared" si="23"/>
        <v>811700.92994585831</v>
      </c>
      <c r="C88" s="678"/>
      <c r="D88" s="678">
        <f t="shared" si="27"/>
        <v>96.736960144232427</v>
      </c>
      <c r="E88" s="678">
        <f>+'YE Projections'!I86</f>
        <v>250000</v>
      </c>
      <c r="F88" s="678">
        <f t="shared" si="20"/>
        <v>561797.66690600256</v>
      </c>
      <c r="H88" s="682">
        <v>45483</v>
      </c>
      <c r="I88" s="678">
        <f t="shared" si="24"/>
        <v>1280308.8226270315</v>
      </c>
      <c r="J88" s="678">
        <f>+E88</f>
        <v>250000</v>
      </c>
      <c r="K88" s="678">
        <f t="shared" si="26"/>
        <v>152.58475009390648</v>
      </c>
      <c r="L88" s="678"/>
      <c r="M88" s="678">
        <f t="shared" si="21"/>
        <v>1530461.4073771255</v>
      </c>
      <c r="O88" s="682">
        <v>45483</v>
      </c>
      <c r="P88" s="678">
        <f t="shared" si="25"/>
        <v>14396.263319441039</v>
      </c>
      <c r="Q88" s="678"/>
      <c r="R88" s="678">
        <f t="shared" si="28"/>
        <v>1.7157190531388635</v>
      </c>
      <c r="S88" s="678"/>
      <c r="T88" s="680">
        <f t="shared" si="22"/>
        <v>14397.979038494179</v>
      </c>
    </row>
    <row r="89" spans="1:20">
      <c r="A89" s="681">
        <v>45484</v>
      </c>
      <c r="B89" s="678">
        <f t="shared" si="23"/>
        <v>561797.66690600256</v>
      </c>
      <c r="C89" s="678"/>
      <c r="D89" s="678">
        <f t="shared" si="27"/>
        <v>66.95396852167427</v>
      </c>
      <c r="E89" s="678"/>
      <c r="F89" s="678">
        <f t="shared" si="20"/>
        <v>561864.62087452423</v>
      </c>
      <c r="H89" s="681">
        <v>45484</v>
      </c>
      <c r="I89" s="678">
        <f t="shared" si="24"/>
        <v>1530461.4073771255</v>
      </c>
      <c r="J89" s="678"/>
      <c r="K89" s="678">
        <f t="shared" si="26"/>
        <v>182.39745539973958</v>
      </c>
      <c r="L89" s="678"/>
      <c r="M89" s="678">
        <f t="shared" si="21"/>
        <v>1530643.8048325251</v>
      </c>
      <c r="O89" s="681">
        <v>45484</v>
      </c>
      <c r="P89" s="678">
        <f t="shared" si="25"/>
        <v>14397.979038494179</v>
      </c>
      <c r="Q89" s="678"/>
      <c r="R89" s="678">
        <f t="shared" si="28"/>
        <v>1.7159235292451964</v>
      </c>
      <c r="S89" s="678"/>
      <c r="T89" s="680">
        <f t="shared" si="22"/>
        <v>14399.694962023425</v>
      </c>
    </row>
    <row r="90" spans="1:20">
      <c r="A90" s="681">
        <v>45485</v>
      </c>
      <c r="B90" s="678">
        <f t="shared" si="23"/>
        <v>561864.62087452423</v>
      </c>
      <c r="C90" s="678"/>
      <c r="D90" s="678">
        <f t="shared" si="27"/>
        <v>66.961947967237819</v>
      </c>
      <c r="E90" s="678"/>
      <c r="F90" s="678">
        <f t="shared" si="20"/>
        <v>561931.58282249141</v>
      </c>
      <c r="H90" s="681">
        <v>45485</v>
      </c>
      <c r="I90" s="678">
        <f t="shared" si="24"/>
        <v>1530643.8048325251</v>
      </c>
      <c r="J90" s="678"/>
      <c r="K90" s="678">
        <f t="shared" si="26"/>
        <v>182.41919317867078</v>
      </c>
      <c r="L90" s="678"/>
      <c r="M90" s="678">
        <f t="shared" si="21"/>
        <v>1530826.2240257037</v>
      </c>
      <c r="O90" s="681">
        <v>45485</v>
      </c>
      <c r="P90" s="678">
        <f t="shared" si="25"/>
        <v>14399.694962023425</v>
      </c>
      <c r="Q90" s="678"/>
      <c r="R90" s="678">
        <f t="shared" si="28"/>
        <v>1.7161280297205999</v>
      </c>
      <c r="S90" s="678"/>
      <c r="T90" s="680">
        <f t="shared" si="22"/>
        <v>14401.411090053145</v>
      </c>
    </row>
    <row r="91" spans="1:20">
      <c r="A91" s="681">
        <v>45486</v>
      </c>
      <c r="B91" s="678">
        <f t="shared" si="23"/>
        <v>561931.58282249141</v>
      </c>
      <c r="C91" s="678"/>
      <c r="D91" s="678">
        <f t="shared" si="27"/>
        <v>66.969928363776361</v>
      </c>
      <c r="E91" s="678"/>
      <c r="F91" s="678">
        <f t="shared" si="20"/>
        <v>561998.55275085522</v>
      </c>
      <c r="H91" s="681">
        <v>45486</v>
      </c>
      <c r="I91" s="678">
        <f t="shared" si="24"/>
        <v>1530826.2240257037</v>
      </c>
      <c r="J91" s="678"/>
      <c r="K91" s="678">
        <f t="shared" si="26"/>
        <v>182.44093354826879</v>
      </c>
      <c r="L91" s="678"/>
      <c r="M91" s="678">
        <f t="shared" si="21"/>
        <v>1531008.6649592521</v>
      </c>
      <c r="O91" s="681">
        <v>45486</v>
      </c>
      <c r="P91" s="678">
        <f t="shared" si="25"/>
        <v>14401.411090053145</v>
      </c>
      <c r="Q91" s="678"/>
      <c r="R91" s="678">
        <f t="shared" si="28"/>
        <v>1.7163325545679773</v>
      </c>
      <c r="S91" s="678"/>
      <c r="T91" s="680">
        <f t="shared" si="22"/>
        <v>14403.127422607713</v>
      </c>
    </row>
    <row r="92" spans="1:20">
      <c r="A92" s="681">
        <v>45487</v>
      </c>
      <c r="B92" s="678">
        <f t="shared" si="23"/>
        <v>561998.55275085522</v>
      </c>
      <c r="C92" s="678"/>
      <c r="D92" s="678">
        <f t="shared" si="27"/>
        <v>66.977909711403285</v>
      </c>
      <c r="E92" s="678"/>
      <c r="F92" s="678">
        <f t="shared" si="20"/>
        <v>562065.53066056664</v>
      </c>
      <c r="H92" s="681">
        <v>45487</v>
      </c>
      <c r="I92" s="678">
        <f t="shared" si="24"/>
        <v>1531008.6649592521</v>
      </c>
      <c r="J92" s="678"/>
      <c r="K92" s="678">
        <f t="shared" si="26"/>
        <v>182.46267650884238</v>
      </c>
      <c r="L92" s="678"/>
      <c r="M92" s="678">
        <f t="shared" si="21"/>
        <v>1531191.1276357609</v>
      </c>
      <c r="O92" s="681">
        <v>45487</v>
      </c>
      <c r="P92" s="678">
        <f t="shared" si="25"/>
        <v>14403.127422607713</v>
      </c>
      <c r="Q92" s="678"/>
      <c r="R92" s="678">
        <f t="shared" si="28"/>
        <v>1.7165371037902342</v>
      </c>
      <c r="S92" s="678"/>
      <c r="T92" s="680">
        <f t="shared" si="22"/>
        <v>14404.843959711503</v>
      </c>
    </row>
    <row r="93" spans="1:20">
      <c r="A93" s="682">
        <v>45488</v>
      </c>
      <c r="B93" s="678">
        <f t="shared" si="23"/>
        <v>562065.53066056664</v>
      </c>
      <c r="C93" s="678">
        <f>SUM($D$451+$D$452+$D$453)/12</f>
        <v>73029.166666666672</v>
      </c>
      <c r="D93" s="678">
        <f t="shared" si="27"/>
        <v>66.985892010231908</v>
      </c>
      <c r="E93" s="678"/>
      <c r="F93" s="678">
        <f>+B93+C93+D93-E93</f>
        <v>635161.68321924354</v>
      </c>
      <c r="H93" s="682">
        <v>45488</v>
      </c>
      <c r="I93" s="678">
        <f t="shared" si="24"/>
        <v>1531191.1276357609</v>
      </c>
      <c r="J93" s="678"/>
      <c r="K93" s="678">
        <f t="shared" si="26"/>
        <v>182.48442206070024</v>
      </c>
      <c r="L93" s="678"/>
      <c r="M93" s="678">
        <f t="shared" si="21"/>
        <v>1531373.6120578216</v>
      </c>
      <c r="O93" s="682">
        <v>45488</v>
      </c>
      <c r="P93" s="678">
        <f t="shared" si="25"/>
        <v>14404.843959711503</v>
      </c>
      <c r="Q93" s="678"/>
      <c r="R93" s="678">
        <f t="shared" si="28"/>
        <v>1.7167416773902748</v>
      </c>
      <c r="S93" s="678"/>
      <c r="T93" s="680">
        <f t="shared" si="22"/>
        <v>14406.560701388893</v>
      </c>
    </row>
    <row r="94" spans="1:20">
      <c r="A94" s="681">
        <v>45489</v>
      </c>
      <c r="B94" s="678">
        <f t="shared" si="23"/>
        <v>635161.68321924354</v>
      </c>
      <c r="C94" s="678"/>
      <c r="D94" s="678">
        <f t="shared" si="27"/>
        <v>75.697351287772847</v>
      </c>
      <c r="E94" s="678"/>
      <c r="F94" s="678">
        <f t="shared" si="20"/>
        <v>635237.38057053136</v>
      </c>
      <c r="H94" s="681">
        <v>45489</v>
      </c>
      <c r="I94" s="678">
        <f t="shared" si="24"/>
        <v>1531373.6120578216</v>
      </c>
      <c r="J94" s="678"/>
      <c r="K94" s="678">
        <f t="shared" si="26"/>
        <v>182.50617020415132</v>
      </c>
      <c r="L94" s="678"/>
      <c r="M94" s="678">
        <f t="shared" si="21"/>
        <v>1531556.1182280257</v>
      </c>
      <c r="O94" s="681">
        <v>45489</v>
      </c>
      <c r="P94" s="678">
        <f t="shared" si="25"/>
        <v>14406.560701388893</v>
      </c>
      <c r="Q94" s="678"/>
      <c r="R94" s="678">
        <f t="shared" si="28"/>
        <v>1.716946275371005</v>
      </c>
      <c r="S94" s="678"/>
      <c r="T94" s="680">
        <f t="shared" si="22"/>
        <v>14408.277647664265</v>
      </c>
    </row>
    <row r="95" spans="1:20">
      <c r="A95" s="681">
        <v>45490</v>
      </c>
      <c r="B95" s="678">
        <f t="shared" si="23"/>
        <v>635237.38057053136</v>
      </c>
      <c r="C95" s="678"/>
      <c r="D95" s="678">
        <f t="shared" si="27"/>
        <v>75.706372752926342</v>
      </c>
      <c r="E95" s="678"/>
      <c r="F95" s="678">
        <f t="shared" si="20"/>
        <v>635313.08694328426</v>
      </c>
      <c r="H95" s="681">
        <v>45490</v>
      </c>
      <c r="I95" s="678">
        <f t="shared" si="24"/>
        <v>1531556.1182280257</v>
      </c>
      <c r="J95" s="678"/>
      <c r="K95" s="678">
        <f t="shared" si="26"/>
        <v>182.52792093950441</v>
      </c>
      <c r="L95" s="678"/>
      <c r="M95" s="678">
        <f t="shared" si="21"/>
        <v>1531738.6461489652</v>
      </c>
      <c r="O95" s="681">
        <v>45490</v>
      </c>
      <c r="P95" s="678">
        <f t="shared" si="25"/>
        <v>14408.277647664265</v>
      </c>
      <c r="Q95" s="678"/>
      <c r="R95" s="678">
        <f t="shared" si="28"/>
        <v>1.71715089773533</v>
      </c>
      <c r="S95" s="678"/>
      <c r="T95" s="680">
        <f t="shared" si="22"/>
        <v>14409.994798562</v>
      </c>
    </row>
    <row r="96" spans="1:20">
      <c r="A96" s="681">
        <v>45491</v>
      </c>
      <c r="B96" s="678">
        <f t="shared" si="23"/>
        <v>635313.08694328426</v>
      </c>
      <c r="C96" s="678"/>
      <c r="D96" s="678">
        <f t="shared" si="27"/>
        <v>75.715395293240732</v>
      </c>
      <c r="E96" s="678"/>
      <c r="F96" s="678">
        <f t="shared" si="20"/>
        <v>635388.80233857746</v>
      </c>
      <c r="H96" s="681">
        <v>45491</v>
      </c>
      <c r="I96" s="678">
        <f t="shared" si="24"/>
        <v>1531738.6461489652</v>
      </c>
      <c r="J96" s="678"/>
      <c r="K96" s="678">
        <f t="shared" si="26"/>
        <v>182.54967426706847</v>
      </c>
      <c r="L96" s="678"/>
      <c r="M96" s="678">
        <f t="shared" si="21"/>
        <v>1531921.1958232324</v>
      </c>
      <c r="O96" s="681">
        <v>45491</v>
      </c>
      <c r="P96" s="678">
        <f t="shared" si="25"/>
        <v>14409.994798562</v>
      </c>
      <c r="Q96" s="678"/>
      <c r="R96" s="678">
        <f t="shared" si="28"/>
        <v>1.7173555444861561</v>
      </c>
      <c r="S96" s="678"/>
      <c r="T96" s="680">
        <f t="shared" si="22"/>
        <v>14411.712154106486</v>
      </c>
    </row>
    <row r="97" spans="1:20">
      <c r="A97" s="682">
        <v>45492</v>
      </c>
      <c r="B97" s="678">
        <f t="shared" si="23"/>
        <v>635388.80233857746</v>
      </c>
      <c r="C97" s="678"/>
      <c r="D97" s="678">
        <f t="shared" si="27"/>
        <v>75.724418908844157</v>
      </c>
      <c r="E97" s="678"/>
      <c r="F97" s="678">
        <f t="shared" si="20"/>
        <v>635464.52675748628</v>
      </c>
      <c r="H97" s="682">
        <v>45492</v>
      </c>
      <c r="I97" s="678">
        <f t="shared" si="24"/>
        <v>1531921.1958232324</v>
      </c>
      <c r="J97" s="678"/>
      <c r="K97" s="678">
        <f t="shared" si="26"/>
        <v>182.57143018715234</v>
      </c>
      <c r="L97" s="678"/>
      <c r="M97" s="678">
        <f t="shared" si="21"/>
        <v>1532103.7672534196</v>
      </c>
      <c r="O97" s="682">
        <v>45492</v>
      </c>
      <c r="P97" s="678">
        <f t="shared" si="25"/>
        <v>14411.712154106486</v>
      </c>
      <c r="Q97" s="678"/>
      <c r="R97" s="678">
        <f t="shared" si="28"/>
        <v>1.7175602156263894</v>
      </c>
      <c r="S97" s="678"/>
      <c r="T97" s="680">
        <f t="shared" si="22"/>
        <v>14413.429714322112</v>
      </c>
    </row>
    <row r="98" spans="1:20">
      <c r="A98" s="681">
        <v>45493</v>
      </c>
      <c r="B98" s="678">
        <f t="shared" si="23"/>
        <v>635464.52675748628</v>
      </c>
      <c r="C98" s="678"/>
      <c r="D98" s="678">
        <f t="shared" si="27"/>
        <v>75.733443599864799</v>
      </c>
      <c r="E98" s="678"/>
      <c r="F98" s="678">
        <f t="shared" si="20"/>
        <v>635540.26020108617</v>
      </c>
      <c r="H98" s="681">
        <v>45493</v>
      </c>
      <c r="I98" s="678">
        <f t="shared" si="24"/>
        <v>1532103.7672534196</v>
      </c>
      <c r="J98" s="678"/>
      <c r="K98" s="678">
        <f t="shared" si="26"/>
        <v>182.59318870006504</v>
      </c>
      <c r="L98" s="678"/>
      <c r="M98" s="678">
        <f t="shared" si="21"/>
        <v>1532286.3604421197</v>
      </c>
      <c r="O98" s="681">
        <v>45493</v>
      </c>
      <c r="P98" s="678">
        <f t="shared" si="25"/>
        <v>14413.429714322112</v>
      </c>
      <c r="Q98" s="678"/>
      <c r="R98" s="678">
        <f t="shared" si="28"/>
        <v>1.7177649111589364</v>
      </c>
      <c r="S98" s="678"/>
      <c r="T98" s="680">
        <f t="shared" si="22"/>
        <v>14415.14747923327</v>
      </c>
    </row>
    <row r="99" spans="1:20">
      <c r="A99" s="681">
        <v>45494</v>
      </c>
      <c r="B99" s="678">
        <f t="shared" si="23"/>
        <v>635540.26020108617</v>
      </c>
      <c r="C99" s="678"/>
      <c r="D99" s="678">
        <f t="shared" si="27"/>
        <v>75.742469366430811</v>
      </c>
      <c r="E99" s="678"/>
      <c r="F99" s="678">
        <f t="shared" si="20"/>
        <v>635616.00267045258</v>
      </c>
      <c r="H99" s="681">
        <v>45494</v>
      </c>
      <c r="I99" s="678">
        <f t="shared" si="24"/>
        <v>1532286.3604421197</v>
      </c>
      <c r="J99" s="678"/>
      <c r="K99" s="678">
        <f t="shared" si="26"/>
        <v>182.61494980611562</v>
      </c>
      <c r="L99" s="678"/>
      <c r="M99" s="678">
        <f t="shared" si="21"/>
        <v>1532468.9753919258</v>
      </c>
      <c r="O99" s="681">
        <v>45494</v>
      </c>
      <c r="P99" s="678">
        <f t="shared" si="25"/>
        <v>14415.14747923327</v>
      </c>
      <c r="Q99" s="678"/>
      <c r="R99" s="678">
        <f t="shared" si="28"/>
        <v>1.7179696310867045</v>
      </c>
      <c r="S99" s="678"/>
      <c r="T99" s="680">
        <f t="shared" si="22"/>
        <v>14416.865448864357</v>
      </c>
    </row>
    <row r="100" spans="1:20">
      <c r="A100" s="681">
        <v>45495</v>
      </c>
      <c r="B100" s="678">
        <f t="shared" si="23"/>
        <v>635616.00267045258</v>
      </c>
      <c r="C100" s="678"/>
      <c r="D100" s="678">
        <f t="shared" si="27"/>
        <v>75.751496208670375</v>
      </c>
      <c r="E100" s="678"/>
      <c r="F100" s="678">
        <f t="shared" si="20"/>
        <v>635691.7541666613</v>
      </c>
      <c r="H100" s="681">
        <v>45495</v>
      </c>
      <c r="I100" s="678">
        <f t="shared" si="24"/>
        <v>1532468.9753919258</v>
      </c>
      <c r="J100" s="678"/>
      <c r="K100" s="678">
        <f t="shared" si="26"/>
        <v>182.63671350561307</v>
      </c>
      <c r="L100" s="678"/>
      <c r="M100" s="678">
        <f t="shared" si="21"/>
        <v>1532651.6121054315</v>
      </c>
      <c r="O100" s="681">
        <v>45495</v>
      </c>
      <c r="P100" s="678">
        <f t="shared" si="25"/>
        <v>14416.865448864357</v>
      </c>
      <c r="Q100" s="678"/>
      <c r="R100" s="678">
        <f t="shared" si="28"/>
        <v>1.7181743754126011</v>
      </c>
      <c r="S100" s="678"/>
      <c r="T100" s="680">
        <f t="shared" si="22"/>
        <v>14418.583623239769</v>
      </c>
    </row>
    <row r="101" spans="1:20">
      <c r="A101" s="681">
        <v>45496</v>
      </c>
      <c r="B101" s="678">
        <f t="shared" si="23"/>
        <v>635691.7541666613</v>
      </c>
      <c r="C101" s="678"/>
      <c r="D101" s="678">
        <f t="shared" si="27"/>
        <v>75.760524126711687</v>
      </c>
      <c r="E101" s="678"/>
      <c r="F101" s="678">
        <f t="shared" si="20"/>
        <v>635767.514690788</v>
      </c>
      <c r="H101" s="681">
        <v>45496</v>
      </c>
      <c r="I101" s="678">
        <f t="shared" si="24"/>
        <v>1532651.6121054315</v>
      </c>
      <c r="J101" s="678"/>
      <c r="K101" s="678">
        <f t="shared" si="26"/>
        <v>182.65847979886649</v>
      </c>
      <c r="L101" s="678"/>
      <c r="M101" s="678">
        <f t="shared" si="21"/>
        <v>1532834.2705852303</v>
      </c>
      <c r="O101" s="681">
        <v>45496</v>
      </c>
      <c r="P101" s="678">
        <f t="shared" si="25"/>
        <v>14418.583623239769</v>
      </c>
      <c r="Q101" s="678"/>
      <c r="R101" s="678">
        <f t="shared" si="28"/>
        <v>1.718379144139534</v>
      </c>
      <c r="S101" s="678"/>
      <c r="T101" s="680">
        <f t="shared" si="22"/>
        <v>14420.302002383909</v>
      </c>
    </row>
    <row r="102" spans="1:20">
      <c r="A102" s="682">
        <v>45497</v>
      </c>
      <c r="B102" s="678">
        <f t="shared" si="23"/>
        <v>635767.514690788</v>
      </c>
      <c r="C102" s="678"/>
      <c r="D102" s="678">
        <f t="shared" si="27"/>
        <v>75.769553120682957</v>
      </c>
      <c r="E102" s="678"/>
      <c r="F102" s="678">
        <f t="shared" si="20"/>
        <v>635843.28424390871</v>
      </c>
      <c r="H102" s="682">
        <v>45497</v>
      </c>
      <c r="I102" s="678">
        <f t="shared" si="24"/>
        <v>1532834.2705852303</v>
      </c>
      <c r="J102" s="678"/>
      <c r="K102" s="678">
        <f t="shared" si="26"/>
        <v>182.680248686185</v>
      </c>
      <c r="L102" s="678"/>
      <c r="M102" s="678">
        <f t="shared" si="21"/>
        <v>1533016.9508339164</v>
      </c>
      <c r="O102" s="682">
        <v>45497</v>
      </c>
      <c r="P102" s="678">
        <f t="shared" si="25"/>
        <v>14420.302002383909</v>
      </c>
      <c r="Q102" s="678"/>
      <c r="R102" s="678">
        <f t="shared" si="28"/>
        <v>1.718583937270411</v>
      </c>
      <c r="S102" s="678"/>
      <c r="T102" s="680">
        <f t="shared" si="22"/>
        <v>14422.02058632118</v>
      </c>
    </row>
    <row r="103" spans="1:20">
      <c r="A103" s="681">
        <v>45498</v>
      </c>
      <c r="B103" s="678">
        <f t="shared" si="23"/>
        <v>635843.28424390871</v>
      </c>
      <c r="C103" s="678"/>
      <c r="D103" s="678">
        <f t="shared" si="27"/>
        <v>75.778583190712396</v>
      </c>
      <c r="E103" s="678"/>
      <c r="F103" s="678">
        <f t="shared" si="20"/>
        <v>635919.06282709946</v>
      </c>
      <c r="H103" s="681">
        <v>45498</v>
      </c>
      <c r="I103" s="678">
        <f t="shared" si="24"/>
        <v>1533016.9508339164</v>
      </c>
      <c r="J103" s="678"/>
      <c r="K103" s="678">
        <f t="shared" si="26"/>
        <v>182.70202016787769</v>
      </c>
      <c r="L103" s="678"/>
      <c r="M103" s="678">
        <f t="shared" si="21"/>
        <v>1533199.6528540843</v>
      </c>
      <c r="O103" s="681">
        <v>45498</v>
      </c>
      <c r="P103" s="678">
        <f t="shared" si="25"/>
        <v>14422.02058632118</v>
      </c>
      <c r="Q103" s="678"/>
      <c r="R103" s="678">
        <f t="shared" si="28"/>
        <v>1.7187887548081404</v>
      </c>
      <c r="S103" s="678"/>
      <c r="T103" s="680">
        <f t="shared" si="22"/>
        <v>14423.739375075987</v>
      </c>
    </row>
    <row r="104" spans="1:20">
      <c r="A104" s="681">
        <v>45499</v>
      </c>
      <c r="B104" s="678">
        <f t="shared" si="23"/>
        <v>635919.06282709946</v>
      </c>
      <c r="C104" s="678"/>
      <c r="D104" s="678">
        <f t="shared" si="27"/>
        <v>75.787614336928286</v>
      </c>
      <c r="E104" s="678"/>
      <c r="F104" s="678">
        <f t="shared" si="20"/>
        <v>635994.8504414364</v>
      </c>
      <c r="H104" s="681">
        <v>45499</v>
      </c>
      <c r="I104" s="678">
        <f t="shared" si="24"/>
        <v>1533199.6528540843</v>
      </c>
      <c r="J104" s="678"/>
      <c r="K104" s="678">
        <f t="shared" si="26"/>
        <v>182.72379424425387</v>
      </c>
      <c r="L104" s="678"/>
      <c r="M104" s="678">
        <f t="shared" si="21"/>
        <v>1533382.3766483285</v>
      </c>
      <c r="O104" s="681">
        <v>45499</v>
      </c>
      <c r="P104" s="678">
        <f t="shared" si="25"/>
        <v>14423.739375075987</v>
      </c>
      <c r="Q104" s="678"/>
      <c r="R104" s="678">
        <f t="shared" si="28"/>
        <v>1.7189935967556313</v>
      </c>
      <c r="S104" s="678"/>
      <c r="T104" s="680">
        <f t="shared" si="22"/>
        <v>14425.458368672744</v>
      </c>
    </row>
    <row r="105" spans="1:20">
      <c r="A105" s="681">
        <v>45500</v>
      </c>
      <c r="B105" s="678">
        <f t="shared" si="23"/>
        <v>635994.8504414364</v>
      </c>
      <c r="C105" s="678"/>
      <c r="D105" s="678">
        <f t="shared" si="27"/>
        <v>75.79664655945885</v>
      </c>
      <c r="E105" s="678"/>
      <c r="F105" s="678">
        <f t="shared" si="20"/>
        <v>636070.64708799589</v>
      </c>
      <c r="H105" s="681">
        <v>45500</v>
      </c>
      <c r="I105" s="678">
        <f t="shared" si="24"/>
        <v>1533382.3766483285</v>
      </c>
      <c r="J105" s="678"/>
      <c r="K105" s="678">
        <f t="shared" si="26"/>
        <v>182.74557091562269</v>
      </c>
      <c r="L105" s="678"/>
      <c r="M105" s="678">
        <f t="shared" si="21"/>
        <v>1533565.122219244</v>
      </c>
      <c r="O105" s="681">
        <v>45500</v>
      </c>
      <c r="P105" s="678">
        <f t="shared" si="25"/>
        <v>14425.458368672744</v>
      </c>
      <c r="Q105" s="678"/>
      <c r="R105" s="678">
        <f t="shared" si="28"/>
        <v>1.7191984631157928</v>
      </c>
      <c r="S105" s="678"/>
      <c r="T105" s="680">
        <f t="shared" si="22"/>
        <v>14427.177567135859</v>
      </c>
    </row>
    <row r="106" spans="1:20">
      <c r="A106" s="682">
        <v>45501</v>
      </c>
      <c r="B106" s="678">
        <f t="shared" si="23"/>
        <v>636070.64708799589</v>
      </c>
      <c r="C106" s="678"/>
      <c r="D106" s="678">
        <f t="shared" si="27"/>
        <v>75.805679858432384</v>
      </c>
      <c r="E106" s="678"/>
      <c r="F106" s="678">
        <f t="shared" si="20"/>
        <v>636146.45276785432</v>
      </c>
      <c r="H106" s="682">
        <v>45501</v>
      </c>
      <c r="I106" s="678">
        <f t="shared" si="24"/>
        <v>1533565.122219244</v>
      </c>
      <c r="J106" s="678"/>
      <c r="K106" s="678">
        <f t="shared" si="26"/>
        <v>182.76735018229343</v>
      </c>
      <c r="L106" s="678"/>
      <c r="M106" s="678">
        <f t="shared" si="21"/>
        <v>1533747.8895694264</v>
      </c>
      <c r="O106" s="682">
        <v>45501</v>
      </c>
      <c r="P106" s="678">
        <f t="shared" si="25"/>
        <v>14427.177567135859</v>
      </c>
      <c r="Q106" s="678"/>
      <c r="R106" s="678">
        <f t="shared" si="28"/>
        <v>1.7194033538915339</v>
      </c>
      <c r="S106" s="678"/>
      <c r="T106" s="680">
        <f t="shared" si="22"/>
        <v>14428.89697048975</v>
      </c>
    </row>
    <row r="107" spans="1:20">
      <c r="A107" s="681">
        <v>45502</v>
      </c>
      <c r="B107" s="678">
        <f t="shared" si="23"/>
        <v>636146.45276785432</v>
      </c>
      <c r="C107" s="678"/>
      <c r="D107" s="678">
        <f t="shared" si="27"/>
        <v>75.814714233977156</v>
      </c>
      <c r="E107" s="678"/>
      <c r="F107" s="678">
        <f t="shared" si="20"/>
        <v>636222.2674820883</v>
      </c>
      <c r="H107" s="681">
        <v>45502</v>
      </c>
      <c r="I107" s="678">
        <f t="shared" si="24"/>
        <v>1533747.8895694264</v>
      </c>
      <c r="J107" s="678"/>
      <c r="K107" s="678">
        <f t="shared" si="26"/>
        <v>182.78913204457547</v>
      </c>
      <c r="L107" s="678"/>
      <c r="M107" s="678">
        <f t="shared" si="21"/>
        <v>1533930.6787014711</v>
      </c>
      <c r="O107" s="681">
        <v>45502</v>
      </c>
      <c r="P107" s="678">
        <f t="shared" si="25"/>
        <v>14428.89697048975</v>
      </c>
      <c r="Q107" s="678"/>
      <c r="R107" s="678">
        <f t="shared" si="28"/>
        <v>1.7196082690857646</v>
      </c>
      <c r="S107" s="678"/>
      <c r="T107" s="680">
        <f t="shared" si="22"/>
        <v>14430.616578758836</v>
      </c>
    </row>
    <row r="108" spans="1:20">
      <c r="A108" s="681">
        <v>45503</v>
      </c>
      <c r="B108" s="678">
        <f t="shared" si="23"/>
        <v>636222.2674820883</v>
      </c>
      <c r="C108" s="678"/>
      <c r="D108" s="678">
        <f t="shared" si="27"/>
        <v>75.823749686221475</v>
      </c>
      <c r="E108" s="678"/>
      <c r="F108" s="678">
        <f t="shared" si="20"/>
        <v>636298.09123177454</v>
      </c>
      <c r="H108" s="681">
        <v>45503</v>
      </c>
      <c r="I108" s="678">
        <f t="shared" si="24"/>
        <v>1533930.6787014711</v>
      </c>
      <c r="J108" s="678"/>
      <c r="K108" s="678">
        <f t="shared" si="26"/>
        <v>182.81091650277801</v>
      </c>
      <c r="L108" s="678"/>
      <c r="M108" s="678">
        <f t="shared" si="21"/>
        <v>1534113.4896179738</v>
      </c>
      <c r="O108" s="681">
        <v>45503</v>
      </c>
      <c r="P108" s="678">
        <f t="shared" si="25"/>
        <v>14430.616578758836</v>
      </c>
      <c r="Q108" s="678"/>
      <c r="R108" s="678">
        <f t="shared" si="28"/>
        <v>1.7198132087013955</v>
      </c>
      <c r="S108" s="678"/>
      <c r="T108" s="680">
        <f t="shared" si="22"/>
        <v>14432.336391967538</v>
      </c>
    </row>
    <row r="109" spans="1:20">
      <c r="A109" s="681">
        <v>45504</v>
      </c>
      <c r="B109" s="678">
        <f t="shared" si="23"/>
        <v>636298.09123177454</v>
      </c>
      <c r="C109" s="678"/>
      <c r="D109" s="678">
        <f t="shared" si="27"/>
        <v>75.832786215293666</v>
      </c>
      <c r="E109" s="678">
        <f>SUM('YE Projections'!I84/12)</f>
        <v>81000.5</v>
      </c>
      <c r="F109" s="678">
        <f t="shared" si="20"/>
        <v>555373.42401798978</v>
      </c>
      <c r="H109" s="681">
        <v>45504</v>
      </c>
      <c r="I109" s="678">
        <f t="shared" si="24"/>
        <v>1534113.4896179738</v>
      </c>
      <c r="J109" s="678"/>
      <c r="K109" s="678">
        <f t="shared" si="26"/>
        <v>182.83270355721055</v>
      </c>
      <c r="L109" s="678"/>
      <c r="M109" s="678">
        <f t="shared" si="21"/>
        <v>1534296.3223215309</v>
      </c>
      <c r="O109" s="681">
        <v>45504</v>
      </c>
      <c r="P109" s="678">
        <f t="shared" si="25"/>
        <v>14432.336391967538</v>
      </c>
      <c r="Q109" s="678"/>
      <c r="R109" s="678">
        <f t="shared" si="28"/>
        <v>1.7200181727413366</v>
      </c>
      <c r="S109" s="678"/>
      <c r="T109" s="680">
        <f t="shared" si="22"/>
        <v>14434.05641014028</v>
      </c>
    </row>
    <row r="110" spans="1:20">
      <c r="A110" s="681">
        <v>45505</v>
      </c>
      <c r="B110" s="678">
        <f t="shared" si="23"/>
        <v>555373.42401798978</v>
      </c>
      <c r="C110" s="678"/>
      <c r="D110" s="678">
        <f t="shared" si="27"/>
        <v>66.18833957474672</v>
      </c>
      <c r="E110" s="678"/>
      <c r="F110" s="678">
        <f t="shared" si="20"/>
        <v>555439.6123575645</v>
      </c>
      <c r="H110" s="681">
        <v>45505</v>
      </c>
      <c r="I110" s="678">
        <f t="shared" si="24"/>
        <v>1534296.3223215309</v>
      </c>
      <c r="J110" s="678"/>
      <c r="K110" s="678">
        <f t="shared" si="26"/>
        <v>182.85449320818242</v>
      </c>
      <c r="L110" s="678"/>
      <c r="M110" s="678">
        <f t="shared" si="21"/>
        <v>1534479.1768147391</v>
      </c>
      <c r="O110" s="681">
        <v>45505</v>
      </c>
      <c r="P110" s="678">
        <f t="shared" si="25"/>
        <v>14434.05641014028</v>
      </c>
      <c r="Q110" s="678"/>
      <c r="R110" s="678">
        <f t="shared" si="28"/>
        <v>1.7202231612084991</v>
      </c>
      <c r="S110" s="678"/>
      <c r="T110" s="680">
        <f t="shared" si="22"/>
        <v>14435.776633301488</v>
      </c>
    </row>
    <row r="111" spans="1:20">
      <c r="A111" s="682">
        <v>45506</v>
      </c>
      <c r="B111" s="678">
        <f t="shared" si="23"/>
        <v>555439.6123575645</v>
      </c>
      <c r="C111" s="678"/>
      <c r="D111" s="678">
        <f t="shared" si="27"/>
        <v>66.1962277741207</v>
      </c>
      <c r="E111" s="678"/>
      <c r="F111" s="678">
        <f t="shared" si="20"/>
        <v>555505.80858533864</v>
      </c>
      <c r="H111" s="682">
        <v>45506</v>
      </c>
      <c r="I111" s="678">
        <f t="shared" si="24"/>
        <v>1534479.1768147391</v>
      </c>
      <c r="J111" s="678"/>
      <c r="K111" s="678">
        <f t="shared" si="26"/>
        <v>182.87628545600316</v>
      </c>
      <c r="L111" s="678"/>
      <c r="M111" s="678">
        <f t="shared" si="21"/>
        <v>1534662.053100195</v>
      </c>
      <c r="O111" s="682">
        <v>45506</v>
      </c>
      <c r="P111" s="678">
        <f t="shared" si="25"/>
        <v>14435.776633301488</v>
      </c>
      <c r="Q111" s="678"/>
      <c r="R111" s="678">
        <f t="shared" si="28"/>
        <v>1.7204281741057936</v>
      </c>
      <c r="S111" s="678"/>
      <c r="T111" s="680">
        <f t="shared" si="22"/>
        <v>14437.497061475593</v>
      </c>
    </row>
    <row r="112" spans="1:20">
      <c r="A112" s="681">
        <v>45507</v>
      </c>
      <c r="B112" s="678">
        <f t="shared" si="23"/>
        <v>555505.80858533864</v>
      </c>
      <c r="C112" s="678"/>
      <c r="D112" s="678">
        <f t="shared" si="27"/>
        <v>66.204116913595144</v>
      </c>
      <c r="E112" s="678"/>
      <c r="F112" s="678">
        <f t="shared" si="20"/>
        <v>555572.01270225225</v>
      </c>
      <c r="H112" s="681">
        <v>45507</v>
      </c>
      <c r="I112" s="678">
        <f t="shared" si="24"/>
        <v>1534662.053100195</v>
      </c>
      <c r="J112" s="678"/>
      <c r="K112" s="678">
        <f t="shared" si="26"/>
        <v>182.89808030098214</v>
      </c>
      <c r="L112" s="678"/>
      <c r="M112" s="678">
        <f t="shared" si="21"/>
        <v>1534844.951180496</v>
      </c>
      <c r="O112" s="681">
        <v>45507</v>
      </c>
      <c r="P112" s="678">
        <f t="shared" si="25"/>
        <v>14437.497061475593</v>
      </c>
      <c r="Q112" s="678"/>
      <c r="R112" s="678">
        <f t="shared" si="28"/>
        <v>1.7206332114361322</v>
      </c>
      <c r="S112" s="678"/>
      <c r="T112" s="680">
        <f t="shared" si="22"/>
        <v>14439.21769468703</v>
      </c>
    </row>
    <row r="113" spans="1:20">
      <c r="A113" s="681">
        <v>45508</v>
      </c>
      <c r="B113" s="678">
        <f t="shared" si="23"/>
        <v>555572.01270225225</v>
      </c>
      <c r="C113" s="678"/>
      <c r="D113" s="678">
        <f t="shared" si="27"/>
        <v>66.212006993282102</v>
      </c>
      <c r="E113" s="678"/>
      <c r="F113" s="678">
        <f t="shared" si="20"/>
        <v>555638.22470924549</v>
      </c>
      <c r="H113" s="681">
        <v>45508</v>
      </c>
      <c r="I113" s="678">
        <f t="shared" si="24"/>
        <v>1534844.951180496</v>
      </c>
      <c r="J113" s="678"/>
      <c r="K113" s="678">
        <f t="shared" si="26"/>
        <v>182.91987774342897</v>
      </c>
      <c r="L113" s="678"/>
      <c r="M113" s="678">
        <f t="shared" si="21"/>
        <v>1535027.8710582394</v>
      </c>
      <c r="O113" s="681">
        <v>45508</v>
      </c>
      <c r="P113" s="678">
        <f t="shared" si="25"/>
        <v>14439.21769468703</v>
      </c>
      <c r="Q113" s="678"/>
      <c r="R113" s="678">
        <f t="shared" si="28"/>
        <v>1.7208382732024265</v>
      </c>
      <c r="S113" s="678"/>
      <c r="T113" s="680">
        <f t="shared" si="22"/>
        <v>14440.938532960232</v>
      </c>
    </row>
    <row r="114" spans="1:20">
      <c r="A114" s="681">
        <v>45509</v>
      </c>
      <c r="B114" s="678">
        <f t="shared" si="23"/>
        <v>555638.22470924549</v>
      </c>
      <c r="C114" s="678"/>
      <c r="D114" s="678">
        <f t="shared" si="27"/>
        <v>66.21989801329363</v>
      </c>
      <c r="E114" s="678"/>
      <c r="F114" s="678">
        <f t="shared" si="20"/>
        <v>555704.44460725877</v>
      </c>
      <c r="H114" s="681">
        <v>45509</v>
      </c>
      <c r="I114" s="678">
        <f t="shared" si="24"/>
        <v>1535027.8710582394</v>
      </c>
      <c r="J114" s="678"/>
      <c r="K114" s="678">
        <f t="shared" si="26"/>
        <v>182.94167778365318</v>
      </c>
      <c r="L114" s="678"/>
      <c r="M114" s="678">
        <f t="shared" si="21"/>
        <v>1535210.812736023</v>
      </c>
      <c r="O114" s="681">
        <v>45509</v>
      </c>
      <c r="P114" s="678">
        <f t="shared" si="25"/>
        <v>14440.938532960232</v>
      </c>
      <c r="Q114" s="678"/>
      <c r="R114" s="678">
        <f t="shared" si="28"/>
        <v>1.7210433594075891</v>
      </c>
      <c r="S114" s="678">
        <f>+P114/11</f>
        <v>1312.8125939054755</v>
      </c>
      <c r="T114" s="680">
        <f t="shared" si="22"/>
        <v>13129.846982414165</v>
      </c>
    </row>
    <row r="115" spans="1:20">
      <c r="A115" s="682">
        <v>45510</v>
      </c>
      <c r="B115" s="678">
        <f t="shared" si="23"/>
        <v>555704.44460725877</v>
      </c>
      <c r="C115" s="678"/>
      <c r="D115" s="678">
        <f t="shared" si="27"/>
        <v>66.227789973741793</v>
      </c>
      <c r="E115" s="678"/>
      <c r="F115" s="678">
        <f t="shared" si="20"/>
        <v>555770.6723972325</v>
      </c>
      <c r="H115" s="682">
        <v>45510</v>
      </c>
      <c r="I115" s="678">
        <f t="shared" si="24"/>
        <v>1535210.812736023</v>
      </c>
      <c r="J115" s="678"/>
      <c r="K115" s="678">
        <f t="shared" si="26"/>
        <v>182.96348042196439</v>
      </c>
      <c r="L115" s="678"/>
      <c r="M115" s="678">
        <f t="shared" si="21"/>
        <v>1535393.776216445</v>
      </c>
      <c r="O115" s="682">
        <v>45510</v>
      </c>
      <c r="P115" s="678">
        <f t="shared" si="25"/>
        <v>13129.846982414165</v>
      </c>
      <c r="Q115" s="678"/>
      <c r="R115" s="678">
        <f t="shared" si="28"/>
        <v>1.5647899828356608</v>
      </c>
      <c r="S115" s="678"/>
      <c r="T115" s="680">
        <f t="shared" si="22"/>
        <v>13131.411772397001</v>
      </c>
    </row>
    <row r="116" spans="1:20">
      <c r="A116" s="681">
        <v>45511</v>
      </c>
      <c r="B116" s="678">
        <f t="shared" si="23"/>
        <v>555770.6723972325</v>
      </c>
      <c r="C116" s="678"/>
      <c r="D116" s="678">
        <f t="shared" si="27"/>
        <v>66.235682874738671</v>
      </c>
      <c r="E116" s="678"/>
      <c r="F116" s="678">
        <f t="shared" si="20"/>
        <v>555836.90808010718</v>
      </c>
      <c r="H116" s="681">
        <v>45511</v>
      </c>
      <c r="I116" s="678">
        <f t="shared" si="24"/>
        <v>1535393.776216445</v>
      </c>
      <c r="J116" s="678"/>
      <c r="K116" s="678">
        <f t="shared" si="26"/>
        <v>182.98528565867218</v>
      </c>
      <c r="L116" s="678"/>
      <c r="M116" s="678">
        <f t="shared" si="21"/>
        <v>1535576.7615021036</v>
      </c>
      <c r="O116" s="681">
        <v>45511</v>
      </c>
      <c r="P116" s="678">
        <f t="shared" si="25"/>
        <v>13131.411772397001</v>
      </c>
      <c r="Q116" s="678"/>
      <c r="R116" s="678">
        <f t="shared" si="28"/>
        <v>1.564976471504848</v>
      </c>
      <c r="S116" s="678"/>
      <c r="T116" s="680">
        <f t="shared" si="22"/>
        <v>13132.976748868507</v>
      </c>
    </row>
    <row r="117" spans="1:20">
      <c r="A117" s="681">
        <v>45512</v>
      </c>
      <c r="B117" s="678">
        <f t="shared" si="23"/>
        <v>555836.90808010718</v>
      </c>
      <c r="C117" s="678"/>
      <c r="D117" s="678">
        <f t="shared" si="27"/>
        <v>66.243576716396333</v>
      </c>
      <c r="E117" s="678"/>
      <c r="F117" s="678">
        <f t="shared" si="20"/>
        <v>555903.15165682358</v>
      </c>
      <c r="H117" s="681">
        <v>45512</v>
      </c>
      <c r="I117" s="678">
        <f t="shared" si="24"/>
        <v>1535576.7615021036</v>
      </c>
      <c r="J117" s="678"/>
      <c r="K117" s="678">
        <f t="shared" si="26"/>
        <v>183.00709349408632</v>
      </c>
      <c r="L117" s="678"/>
      <c r="M117" s="678">
        <f t="shared" si="21"/>
        <v>1535759.7685955977</v>
      </c>
      <c r="O117" s="681">
        <v>45512</v>
      </c>
      <c r="P117" s="678">
        <f t="shared" si="25"/>
        <v>13132.976748868507</v>
      </c>
      <c r="Q117" s="678"/>
      <c r="R117" s="678">
        <f t="shared" si="28"/>
        <v>1.5651629823993971</v>
      </c>
      <c r="S117" s="678"/>
      <c r="T117" s="680">
        <f t="shared" si="22"/>
        <v>13134.541911850905</v>
      </c>
    </row>
    <row r="118" spans="1:20">
      <c r="A118" s="681">
        <v>45513</v>
      </c>
      <c r="B118" s="678">
        <f t="shared" si="23"/>
        <v>555903.15165682358</v>
      </c>
      <c r="C118" s="678"/>
      <c r="D118" s="678">
        <f t="shared" si="27"/>
        <v>66.251471498826916</v>
      </c>
      <c r="E118" s="678"/>
      <c r="F118" s="678">
        <f t="shared" si="20"/>
        <v>555969.40312832245</v>
      </c>
      <c r="H118" s="681">
        <v>45513</v>
      </c>
      <c r="I118" s="678">
        <f t="shared" si="24"/>
        <v>1535759.7685955977</v>
      </c>
      <c r="J118" s="678"/>
      <c r="K118" s="678">
        <f t="shared" si="26"/>
        <v>183.02890392851643</v>
      </c>
      <c r="L118" s="678"/>
      <c r="M118" s="678">
        <f t="shared" si="21"/>
        <v>1535942.7974995263</v>
      </c>
      <c r="O118" s="681">
        <v>45513</v>
      </c>
      <c r="P118" s="678">
        <f t="shared" si="25"/>
        <v>13134.541911850905</v>
      </c>
      <c r="Q118" s="678"/>
      <c r="R118" s="678">
        <f t="shared" si="28"/>
        <v>1.565349515521957</v>
      </c>
      <c r="S118" s="678"/>
      <c r="T118" s="680">
        <f t="shared" si="22"/>
        <v>13136.107261366427</v>
      </c>
    </row>
    <row r="119" spans="1:20">
      <c r="A119" s="681">
        <v>45514</v>
      </c>
      <c r="B119" s="678">
        <f t="shared" si="23"/>
        <v>555969.40312832245</v>
      </c>
      <c r="C119" s="678"/>
      <c r="D119" s="678">
        <f t="shared" si="27"/>
        <v>66.259367222142529</v>
      </c>
      <c r="E119" s="678"/>
      <c r="F119" s="678">
        <f t="shared" si="20"/>
        <v>556035.66249554465</v>
      </c>
      <c r="H119" s="681">
        <v>45514</v>
      </c>
      <c r="I119" s="678">
        <f t="shared" si="24"/>
        <v>1535942.7974995263</v>
      </c>
      <c r="J119" s="678"/>
      <c r="K119" s="678">
        <f t="shared" si="26"/>
        <v>183.0507169622723</v>
      </c>
      <c r="L119" s="678"/>
      <c r="M119" s="678">
        <f t="shared" si="21"/>
        <v>1536125.8482164885</v>
      </c>
      <c r="O119" s="681">
        <v>45514</v>
      </c>
      <c r="P119" s="678">
        <f t="shared" si="25"/>
        <v>13136.107261366427</v>
      </c>
      <c r="Q119" s="678"/>
      <c r="R119" s="678">
        <f t="shared" si="28"/>
        <v>1.5655360708751767</v>
      </c>
      <c r="S119" s="678"/>
      <c r="T119" s="680">
        <f t="shared" si="22"/>
        <v>13137.672797437303</v>
      </c>
    </row>
    <row r="120" spans="1:20">
      <c r="A120" s="682">
        <v>45515</v>
      </c>
      <c r="B120" s="678">
        <f t="shared" si="23"/>
        <v>556035.66249554465</v>
      </c>
      <c r="C120" s="678"/>
      <c r="D120" s="678">
        <f t="shared" si="27"/>
        <v>66.267263886455311</v>
      </c>
      <c r="E120" s="678"/>
      <c r="F120" s="678">
        <f t="shared" si="20"/>
        <v>556101.92975943105</v>
      </c>
      <c r="H120" s="682">
        <v>45515</v>
      </c>
      <c r="I120" s="678">
        <f t="shared" si="24"/>
        <v>1536125.8482164885</v>
      </c>
      <c r="J120" s="678"/>
      <c r="K120" s="678">
        <f t="shared" si="26"/>
        <v>183.07253259566369</v>
      </c>
      <c r="L120" s="678"/>
      <c r="M120" s="678">
        <f t="shared" si="21"/>
        <v>1536308.9207490841</v>
      </c>
      <c r="O120" s="682">
        <v>45515</v>
      </c>
      <c r="P120" s="678">
        <f t="shared" si="25"/>
        <v>13137.672797437303</v>
      </c>
      <c r="Q120" s="678"/>
      <c r="R120" s="678">
        <f t="shared" si="28"/>
        <v>1.5657226484617059</v>
      </c>
      <c r="S120" s="678"/>
      <c r="T120" s="680">
        <f t="shared" si="22"/>
        <v>13139.238520085764</v>
      </c>
    </row>
    <row r="121" spans="1:20">
      <c r="A121" s="681">
        <v>45516</v>
      </c>
      <c r="B121" s="678">
        <f t="shared" si="23"/>
        <v>556101.92975943105</v>
      </c>
      <c r="C121" s="678"/>
      <c r="D121" s="678">
        <f t="shared" si="27"/>
        <v>66.275161491877398</v>
      </c>
      <c r="E121" s="678"/>
      <c r="F121" s="678">
        <f t="shared" si="20"/>
        <v>556168.20492092287</v>
      </c>
      <c r="H121" s="681">
        <v>45516</v>
      </c>
      <c r="I121" s="678">
        <f t="shared" si="24"/>
        <v>1536308.9207490841</v>
      </c>
      <c r="J121" s="678"/>
      <c r="K121" s="678">
        <f t="shared" si="26"/>
        <v>183.09435082900043</v>
      </c>
      <c r="L121" s="678"/>
      <c r="M121" s="678">
        <f t="shared" si="21"/>
        <v>1536492.0150999131</v>
      </c>
      <c r="O121" s="681">
        <v>45516</v>
      </c>
      <c r="P121" s="678">
        <f t="shared" si="25"/>
        <v>13139.238520085764</v>
      </c>
      <c r="Q121" s="678"/>
      <c r="R121" s="678">
        <f t="shared" si="28"/>
        <v>1.5659092482841936</v>
      </c>
      <c r="S121" s="678"/>
      <c r="T121" s="680">
        <f t="shared" si="22"/>
        <v>13140.804429334048</v>
      </c>
    </row>
    <row r="122" spans="1:20">
      <c r="A122" s="681">
        <v>45517</v>
      </c>
      <c r="B122" s="678">
        <f t="shared" si="23"/>
        <v>556168.20492092287</v>
      </c>
      <c r="C122" s="678"/>
      <c r="D122" s="678">
        <f t="shared" si="27"/>
        <v>66.283060038520944</v>
      </c>
      <c r="E122" s="678"/>
      <c r="F122" s="678">
        <f t="shared" si="20"/>
        <v>556234.48798096145</v>
      </c>
      <c r="H122" s="681">
        <v>45517</v>
      </c>
      <c r="I122" s="678">
        <f t="shared" si="24"/>
        <v>1536492.0150999131</v>
      </c>
      <c r="J122" s="678"/>
      <c r="K122" s="678">
        <f t="shared" si="26"/>
        <v>183.11617166259236</v>
      </c>
      <c r="L122" s="678"/>
      <c r="M122" s="678">
        <f t="shared" si="21"/>
        <v>1536675.1312715758</v>
      </c>
      <c r="O122" s="681">
        <v>45517</v>
      </c>
      <c r="P122" s="678">
        <f t="shared" si="25"/>
        <v>13140.804429334048</v>
      </c>
      <c r="Q122" s="678"/>
      <c r="R122" s="678">
        <f t="shared" si="28"/>
        <v>1.5660958703452905</v>
      </c>
      <c r="S122" s="678"/>
      <c r="T122" s="680">
        <f t="shared" si="22"/>
        <v>13142.370525204393</v>
      </c>
    </row>
    <row r="123" spans="1:20">
      <c r="A123" s="681">
        <v>45518</v>
      </c>
      <c r="B123" s="678">
        <f t="shared" si="23"/>
        <v>556234.48798096145</v>
      </c>
      <c r="C123" s="678"/>
      <c r="D123" s="678">
        <f t="shared" si="27"/>
        <v>66.290959526498142</v>
      </c>
      <c r="E123" s="678"/>
      <c r="F123" s="678">
        <f t="shared" si="20"/>
        <v>556300.778940488</v>
      </c>
      <c r="H123" s="681">
        <v>45518</v>
      </c>
      <c r="I123" s="678">
        <f t="shared" si="24"/>
        <v>1536675.1312715758</v>
      </c>
      <c r="J123" s="678"/>
      <c r="K123" s="678">
        <f t="shared" si="26"/>
        <v>183.13799509674942</v>
      </c>
      <c r="L123" s="678"/>
      <c r="M123" s="678">
        <f t="shared" si="21"/>
        <v>1536858.2692666727</v>
      </c>
      <c r="O123" s="681">
        <v>45518</v>
      </c>
      <c r="P123" s="678">
        <f t="shared" si="25"/>
        <v>13142.370525204393</v>
      </c>
      <c r="Q123" s="678"/>
      <c r="R123" s="678">
        <f t="shared" si="28"/>
        <v>1.5662825146476467</v>
      </c>
      <c r="S123" s="678"/>
      <c r="T123" s="680">
        <f t="shared" si="22"/>
        <v>13143.936807719041</v>
      </c>
    </row>
    <row r="124" spans="1:20">
      <c r="A124" s="682">
        <v>45519</v>
      </c>
      <c r="B124" s="678">
        <f t="shared" si="23"/>
        <v>556300.778940488</v>
      </c>
      <c r="C124" s="678">
        <f>SUM($D$451+$D$452+$D$453)/12</f>
        <v>73029.166666666672</v>
      </c>
      <c r="D124" s="678">
        <f t="shared" si="27"/>
        <v>66.298859955921159</v>
      </c>
      <c r="E124" s="678"/>
      <c r="F124" s="678">
        <f t="shared" si="20"/>
        <v>629396.24446711061</v>
      </c>
      <c r="H124" s="682">
        <v>45519</v>
      </c>
      <c r="I124" s="678">
        <f t="shared" si="24"/>
        <v>1536858.2692666727</v>
      </c>
      <c r="J124" s="678"/>
      <c r="K124" s="678">
        <f t="shared" si="26"/>
        <v>183.15982113178151</v>
      </c>
      <c r="L124" s="678"/>
      <c r="M124" s="678">
        <f t="shared" si="21"/>
        <v>1537041.4290878044</v>
      </c>
      <c r="O124" s="682">
        <v>45519</v>
      </c>
      <c r="P124" s="678">
        <f t="shared" si="25"/>
        <v>13143.936807719041</v>
      </c>
      <c r="Q124" s="678"/>
      <c r="R124" s="678">
        <f t="shared" si="28"/>
        <v>1.5664691811939131</v>
      </c>
      <c r="S124" s="678"/>
      <c r="T124" s="680">
        <f t="shared" si="22"/>
        <v>13145.503276900236</v>
      </c>
    </row>
    <row r="125" spans="1:20">
      <c r="A125" s="681">
        <v>45520</v>
      </c>
      <c r="B125" s="678">
        <f t="shared" si="23"/>
        <v>629396.24446711061</v>
      </c>
      <c r="C125" s="678"/>
      <c r="D125" s="678">
        <f t="shared" si="27"/>
        <v>75.010237354299477</v>
      </c>
      <c r="E125" s="678"/>
      <c r="F125" s="678">
        <f t="shared" si="20"/>
        <v>629471.25470446493</v>
      </c>
      <c r="H125" s="681">
        <v>45520</v>
      </c>
      <c r="I125" s="678">
        <f t="shared" si="24"/>
        <v>1537041.4290878044</v>
      </c>
      <c r="J125" s="678"/>
      <c r="K125" s="678">
        <f t="shared" si="26"/>
        <v>183.18164976799861</v>
      </c>
      <c r="L125" s="678"/>
      <c r="M125" s="678">
        <f t="shared" si="21"/>
        <v>1537224.6107375724</v>
      </c>
      <c r="O125" s="681">
        <v>45520</v>
      </c>
      <c r="P125" s="678">
        <f t="shared" si="25"/>
        <v>13145.503276900236</v>
      </c>
      <c r="Q125" s="678"/>
      <c r="R125" s="678">
        <f t="shared" si="28"/>
        <v>1.5666558699867403</v>
      </c>
      <c r="S125" s="678"/>
      <c r="T125" s="680">
        <f t="shared" si="22"/>
        <v>13147.069932770222</v>
      </c>
    </row>
    <row r="126" spans="1:20">
      <c r="A126" s="681">
        <v>45521</v>
      </c>
      <c r="B126" s="678">
        <f t="shared" si="23"/>
        <v>629471.25470446493</v>
      </c>
      <c r="C126" s="678"/>
      <c r="D126" s="678">
        <f t="shared" si="27"/>
        <v>75.019176930532126</v>
      </c>
      <c r="E126" s="678"/>
      <c r="F126" s="678">
        <f t="shared" si="20"/>
        <v>629546.27388139546</v>
      </c>
      <c r="H126" s="681">
        <v>45521</v>
      </c>
      <c r="I126" s="678">
        <f t="shared" si="24"/>
        <v>1537224.6107375724</v>
      </c>
      <c r="J126" s="678"/>
      <c r="K126" s="678">
        <f t="shared" si="26"/>
        <v>183.2034810057107</v>
      </c>
      <c r="L126" s="678"/>
      <c r="M126" s="678">
        <f t="shared" si="21"/>
        <v>1537407.8142185782</v>
      </c>
      <c r="O126" s="681">
        <v>45521</v>
      </c>
      <c r="P126" s="678">
        <f t="shared" si="25"/>
        <v>13147.069932770222</v>
      </c>
      <c r="Q126" s="678"/>
      <c r="R126" s="678">
        <f t="shared" si="28"/>
        <v>1.5668425810287796</v>
      </c>
      <c r="S126" s="678"/>
      <c r="T126" s="680">
        <f t="shared" si="22"/>
        <v>13148.636775351251</v>
      </c>
    </row>
    <row r="127" spans="1:20">
      <c r="A127" s="681">
        <v>45522</v>
      </c>
      <c r="B127" s="678">
        <f t="shared" si="23"/>
        <v>629546.27388139546</v>
      </c>
      <c r="C127" s="678"/>
      <c r="D127" s="678">
        <f t="shared" si="27"/>
        <v>75.028117572166295</v>
      </c>
      <c r="E127" s="678"/>
      <c r="F127" s="678">
        <f t="shared" si="20"/>
        <v>629621.30199896765</v>
      </c>
      <c r="H127" s="681">
        <v>45522</v>
      </c>
      <c r="I127" s="678">
        <f t="shared" si="24"/>
        <v>1537407.8142185782</v>
      </c>
      <c r="J127" s="678"/>
      <c r="K127" s="678">
        <f t="shared" si="26"/>
        <v>183.22531484522779</v>
      </c>
      <c r="L127" s="678"/>
      <c r="M127" s="678">
        <f t="shared" si="21"/>
        <v>1537591.0395334235</v>
      </c>
      <c r="O127" s="681">
        <v>45522</v>
      </c>
      <c r="P127" s="678">
        <f t="shared" si="25"/>
        <v>13148.636775351251</v>
      </c>
      <c r="Q127" s="678"/>
      <c r="R127" s="678">
        <f t="shared" si="28"/>
        <v>1.5670293143226832</v>
      </c>
      <c r="S127" s="678"/>
      <c r="T127" s="680">
        <f t="shared" si="22"/>
        <v>13150.203804665574</v>
      </c>
    </row>
    <row r="128" spans="1:20">
      <c r="A128" s="681">
        <v>45523</v>
      </c>
      <c r="B128" s="678">
        <f t="shared" si="23"/>
        <v>629621.30199896765</v>
      </c>
      <c r="C128" s="678"/>
      <c r="D128" s="678">
        <f t="shared" si="27"/>
        <v>75.037059279329014</v>
      </c>
      <c r="E128" s="678"/>
      <c r="F128" s="678">
        <f t="shared" si="20"/>
        <v>629696.33905824693</v>
      </c>
      <c r="H128" s="681">
        <v>45523</v>
      </c>
      <c r="I128" s="678">
        <f t="shared" si="24"/>
        <v>1537591.0395334235</v>
      </c>
      <c r="J128" s="678"/>
      <c r="K128" s="678">
        <f t="shared" si="26"/>
        <v>183.24715128686006</v>
      </c>
      <c r="L128" s="678"/>
      <c r="M128" s="678">
        <f t="shared" si="21"/>
        <v>1537774.2866847103</v>
      </c>
      <c r="O128" s="681">
        <v>45523</v>
      </c>
      <c r="P128" s="678">
        <f t="shared" si="25"/>
        <v>13150.203804665574</v>
      </c>
      <c r="Q128" s="678"/>
      <c r="R128" s="678">
        <f t="shared" si="28"/>
        <v>1.5672160698711026</v>
      </c>
      <c r="S128" s="678"/>
      <c r="T128" s="680">
        <f t="shared" si="22"/>
        <v>13151.771020735445</v>
      </c>
    </row>
    <row r="129" spans="1:20">
      <c r="A129" s="682">
        <v>45524</v>
      </c>
      <c r="B129" s="678">
        <f t="shared" si="23"/>
        <v>629696.33905824693</v>
      </c>
      <c r="C129" s="678"/>
      <c r="D129" s="678">
        <f t="shared" si="27"/>
        <v>75.04600205214723</v>
      </c>
      <c r="E129" s="678"/>
      <c r="F129" s="678">
        <f t="shared" si="20"/>
        <v>629771.38506029907</v>
      </c>
      <c r="H129" s="682">
        <v>45524</v>
      </c>
      <c r="I129" s="678">
        <f t="shared" si="24"/>
        <v>1537774.2866847103</v>
      </c>
      <c r="J129" s="678"/>
      <c r="K129" s="678">
        <f t="shared" si="26"/>
        <v>183.26899033091752</v>
      </c>
      <c r="L129" s="678"/>
      <c r="M129" s="678">
        <f t="shared" si="21"/>
        <v>1537957.5556750412</v>
      </c>
      <c r="O129" s="682">
        <v>45524</v>
      </c>
      <c r="P129" s="678">
        <f t="shared" si="25"/>
        <v>13151.771020735445</v>
      </c>
      <c r="Q129" s="678"/>
      <c r="R129" s="678">
        <f t="shared" si="28"/>
        <v>1.5674028476766897</v>
      </c>
      <c r="S129" s="678"/>
      <c r="T129" s="680">
        <f t="shared" si="22"/>
        <v>13153.338423583122</v>
      </c>
    </row>
    <row r="130" spans="1:20">
      <c r="A130" s="681">
        <v>45525</v>
      </c>
      <c r="B130" s="678">
        <f t="shared" si="23"/>
        <v>629771.38506029907</v>
      </c>
      <c r="C130" s="678"/>
      <c r="D130" s="678">
        <f t="shared" si="27"/>
        <v>75.054945890747973</v>
      </c>
      <c r="E130" s="678"/>
      <c r="F130" s="678">
        <f t="shared" si="20"/>
        <v>629846.44000618986</v>
      </c>
      <c r="H130" s="681">
        <v>45525</v>
      </c>
      <c r="I130" s="678">
        <f t="shared" si="24"/>
        <v>1537957.5556750412</v>
      </c>
      <c r="J130" s="678"/>
      <c r="K130" s="678">
        <f t="shared" si="26"/>
        <v>183.29083197771038</v>
      </c>
      <c r="L130" s="678"/>
      <c r="M130" s="678">
        <f t="shared" si="21"/>
        <v>1538140.8465070189</v>
      </c>
      <c r="O130" s="681">
        <v>45525</v>
      </c>
      <c r="P130" s="678">
        <f t="shared" si="25"/>
        <v>13153.338423583122</v>
      </c>
      <c r="Q130" s="678"/>
      <c r="R130" s="678">
        <f t="shared" si="28"/>
        <v>1.5675896477420979</v>
      </c>
      <c r="S130" s="678"/>
      <c r="T130" s="680">
        <f t="shared" si="22"/>
        <v>13154.906013230864</v>
      </c>
    </row>
    <row r="131" spans="1:20">
      <c r="A131" s="681">
        <v>45526</v>
      </c>
      <c r="B131" s="678">
        <f t="shared" si="23"/>
        <v>629846.44000618986</v>
      </c>
      <c r="C131" s="678"/>
      <c r="D131" s="678">
        <f t="shared" si="27"/>
        <v>75.063890795258246</v>
      </c>
      <c r="E131" s="678"/>
      <c r="F131" s="678">
        <f t="shared" si="20"/>
        <v>629921.50389698509</v>
      </c>
      <c r="H131" s="681">
        <v>45526</v>
      </c>
      <c r="I131" s="678">
        <f t="shared" si="24"/>
        <v>1538140.8465070189</v>
      </c>
      <c r="J131" s="678"/>
      <c r="K131" s="678">
        <f t="shared" si="26"/>
        <v>183.31267622754879</v>
      </c>
      <c r="L131" s="678"/>
      <c r="M131" s="678">
        <f t="shared" si="21"/>
        <v>1538324.1591832465</v>
      </c>
      <c r="O131" s="681">
        <v>45526</v>
      </c>
      <c r="P131" s="678">
        <f t="shared" si="25"/>
        <v>13154.906013230864</v>
      </c>
      <c r="Q131" s="678"/>
      <c r="R131" s="678">
        <f t="shared" si="28"/>
        <v>1.5677764700699794</v>
      </c>
      <c r="S131" s="678"/>
      <c r="T131" s="680">
        <f t="shared" si="22"/>
        <v>13156.473789700935</v>
      </c>
    </row>
    <row r="132" spans="1:20">
      <c r="A132" s="681">
        <v>45527</v>
      </c>
      <c r="B132" s="678">
        <f t="shared" si="23"/>
        <v>629921.50389698509</v>
      </c>
      <c r="C132" s="678"/>
      <c r="D132" s="678">
        <f t="shared" si="27"/>
        <v>75.072836765805064</v>
      </c>
      <c r="E132" s="678"/>
      <c r="F132" s="678">
        <f t="shared" si="20"/>
        <v>629996.57673375087</v>
      </c>
      <c r="H132" s="681">
        <v>45527</v>
      </c>
      <c r="I132" s="678">
        <f t="shared" si="24"/>
        <v>1538324.1591832465</v>
      </c>
      <c r="J132" s="678"/>
      <c r="K132" s="678">
        <f t="shared" si="26"/>
        <v>183.33452308074305</v>
      </c>
      <c r="L132" s="678"/>
      <c r="M132" s="678">
        <f t="shared" si="21"/>
        <v>1538507.4937063274</v>
      </c>
      <c r="O132" s="681">
        <v>45527</v>
      </c>
      <c r="P132" s="678">
        <f t="shared" si="25"/>
        <v>13156.473789700935</v>
      </c>
      <c r="Q132" s="678"/>
      <c r="R132" s="678">
        <f t="shared" si="28"/>
        <v>1.5679633146629881</v>
      </c>
      <c r="S132" s="678"/>
      <c r="T132" s="680">
        <f t="shared" si="22"/>
        <v>13158.041753015597</v>
      </c>
    </row>
    <row r="133" spans="1:20">
      <c r="A133" s="682">
        <v>45528</v>
      </c>
      <c r="B133" s="678">
        <f t="shared" si="23"/>
        <v>629996.57673375087</v>
      </c>
      <c r="C133" s="678"/>
      <c r="D133" s="678">
        <f t="shared" si="27"/>
        <v>75.081783802515503</v>
      </c>
      <c r="E133" s="678"/>
      <c r="F133" s="678">
        <f t="shared" si="20"/>
        <v>630071.65851755335</v>
      </c>
      <c r="H133" s="682">
        <v>45528</v>
      </c>
      <c r="I133" s="678">
        <f t="shared" si="24"/>
        <v>1538507.4937063274</v>
      </c>
      <c r="J133" s="678"/>
      <c r="K133" s="678">
        <f t="shared" si="26"/>
        <v>183.35637253760339</v>
      </c>
      <c r="L133" s="678"/>
      <c r="M133" s="678">
        <f t="shared" si="21"/>
        <v>1538690.850078865</v>
      </c>
      <c r="O133" s="682">
        <v>45528</v>
      </c>
      <c r="P133" s="678">
        <f t="shared" si="25"/>
        <v>13158.041753015597</v>
      </c>
      <c r="Q133" s="678"/>
      <c r="R133" s="678">
        <f t="shared" si="28"/>
        <v>1.5681501815237764</v>
      </c>
      <c r="S133" s="678"/>
      <c r="T133" s="680">
        <f t="shared" si="22"/>
        <v>13159.609903197121</v>
      </c>
    </row>
    <row r="134" spans="1:20">
      <c r="A134" s="681">
        <v>45529</v>
      </c>
      <c r="B134" s="678">
        <f t="shared" si="23"/>
        <v>630071.65851755335</v>
      </c>
      <c r="C134" s="678"/>
      <c r="D134" s="678">
        <f t="shared" si="27"/>
        <v>75.090731905516634</v>
      </c>
      <c r="E134" s="678"/>
      <c r="F134" s="678">
        <f t="shared" si="20"/>
        <v>630146.7492494589</v>
      </c>
      <c r="H134" s="681">
        <v>45529</v>
      </c>
      <c r="I134" s="678">
        <f t="shared" si="24"/>
        <v>1538690.850078865</v>
      </c>
      <c r="J134" s="678"/>
      <c r="K134" s="678">
        <f t="shared" si="26"/>
        <v>183.37822459844006</v>
      </c>
      <c r="L134" s="678"/>
      <c r="M134" s="678">
        <f t="shared" si="21"/>
        <v>1538874.2283034634</v>
      </c>
      <c r="O134" s="681">
        <v>45529</v>
      </c>
      <c r="P134" s="678">
        <f t="shared" si="25"/>
        <v>13159.609903197121</v>
      </c>
      <c r="Q134" s="678"/>
      <c r="R134" s="678">
        <f t="shared" si="28"/>
        <v>1.5683370706549991</v>
      </c>
      <c r="S134" s="678"/>
      <c r="T134" s="680">
        <f t="shared" si="22"/>
        <v>13161.178240267776</v>
      </c>
    </row>
    <row r="135" spans="1:20">
      <c r="A135" s="681">
        <v>45530</v>
      </c>
      <c r="B135" s="678">
        <f t="shared" si="23"/>
        <v>630146.7492494589</v>
      </c>
      <c r="C135" s="678"/>
      <c r="D135" s="678">
        <f t="shared" si="27"/>
        <v>75.099681074935503</v>
      </c>
      <c r="E135" s="678"/>
      <c r="F135" s="678">
        <f t="shared" si="20"/>
        <v>630221.84893053386</v>
      </c>
      <c r="H135" s="681">
        <v>45530</v>
      </c>
      <c r="I135" s="678">
        <f t="shared" si="24"/>
        <v>1538874.2283034634</v>
      </c>
      <c r="J135" s="678"/>
      <c r="K135" s="678">
        <f t="shared" si="26"/>
        <v>183.40007926356341</v>
      </c>
      <c r="L135" s="678"/>
      <c r="M135" s="678">
        <f t="shared" si="21"/>
        <v>1539057.628382727</v>
      </c>
      <c r="O135" s="681">
        <v>45530</v>
      </c>
      <c r="P135" s="678">
        <f t="shared" si="25"/>
        <v>13161.178240267776</v>
      </c>
      <c r="Q135" s="678"/>
      <c r="R135" s="678">
        <f t="shared" si="28"/>
        <v>1.5685239820593102</v>
      </c>
      <c r="S135" s="678"/>
      <c r="T135" s="680">
        <f t="shared" si="22"/>
        <v>13162.746764249836</v>
      </c>
    </row>
    <row r="136" spans="1:20">
      <c r="A136" s="681">
        <v>45531</v>
      </c>
      <c r="B136" s="678">
        <f t="shared" si="23"/>
        <v>630221.84893053386</v>
      </c>
      <c r="C136" s="678"/>
      <c r="D136" s="678">
        <f t="shared" si="27"/>
        <v>75.108631310899227</v>
      </c>
      <c r="E136" s="678"/>
      <c r="F136" s="678">
        <f t="shared" si="20"/>
        <v>630296.95756184473</v>
      </c>
      <c r="H136" s="681">
        <v>45531</v>
      </c>
      <c r="I136" s="678">
        <f t="shared" si="24"/>
        <v>1539057.628382727</v>
      </c>
      <c r="J136" s="678"/>
      <c r="K136" s="678">
        <f t="shared" si="26"/>
        <v>183.42193653328388</v>
      </c>
      <c r="L136" s="678"/>
      <c r="M136" s="678">
        <f t="shared" si="21"/>
        <v>1539241.0503192602</v>
      </c>
      <c r="O136" s="681">
        <v>45531</v>
      </c>
      <c r="P136" s="678">
        <f t="shared" si="25"/>
        <v>13162.746764249836</v>
      </c>
      <c r="Q136" s="678"/>
      <c r="R136" s="678">
        <f t="shared" si="28"/>
        <v>1.5687109157393637</v>
      </c>
      <c r="S136" s="678"/>
      <c r="T136" s="680">
        <f t="shared" si="22"/>
        <v>13164.315475165575</v>
      </c>
    </row>
    <row r="137" spans="1:20">
      <c r="A137" s="681">
        <v>45532</v>
      </c>
      <c r="B137" s="678">
        <f t="shared" ref="B137:B200" si="29">+F136</f>
        <v>630296.95756184473</v>
      </c>
      <c r="C137" s="678"/>
      <c r="D137" s="678">
        <f t="shared" si="27"/>
        <v>75.117582613534907</v>
      </c>
      <c r="E137" s="678"/>
      <c r="F137" s="678">
        <f t="shared" ref="F137:F200" si="30">+B137+C137+D137-E137</f>
        <v>630372.07514445821</v>
      </c>
      <c r="H137" s="681">
        <v>45532</v>
      </c>
      <c r="I137" s="678">
        <f t="shared" ref="I137:I200" si="31">+M136</f>
        <v>1539241.0503192602</v>
      </c>
      <c r="J137" s="678"/>
      <c r="K137" s="678">
        <f t="shared" si="26"/>
        <v>183.4437964079118</v>
      </c>
      <c r="L137" s="678"/>
      <c r="M137" s="678">
        <f t="shared" ref="M137:M200" si="32">+I137+J137+K137-L137</f>
        <v>1539424.4941156681</v>
      </c>
      <c r="O137" s="681">
        <v>45532</v>
      </c>
      <c r="P137" s="678">
        <f t="shared" si="25"/>
        <v>13164.315475165575</v>
      </c>
      <c r="Q137" s="678"/>
      <c r="R137" s="678">
        <f t="shared" si="28"/>
        <v>1.5688978716978148</v>
      </c>
      <c r="S137" s="678"/>
      <c r="T137" s="680">
        <f t="shared" si="22"/>
        <v>13165.884373037272</v>
      </c>
    </row>
    <row r="138" spans="1:20">
      <c r="A138" s="682">
        <v>45533</v>
      </c>
      <c r="B138" s="678">
        <f t="shared" si="29"/>
        <v>630372.07514445821</v>
      </c>
      <c r="C138" s="678"/>
      <c r="D138" s="678">
        <f t="shared" si="27"/>
        <v>75.126534982969673</v>
      </c>
      <c r="E138" s="678"/>
      <c r="F138" s="678">
        <f t="shared" si="30"/>
        <v>630447.20167944115</v>
      </c>
      <c r="H138" s="682">
        <v>45533</v>
      </c>
      <c r="I138" s="678">
        <f t="shared" si="31"/>
        <v>1539424.4941156681</v>
      </c>
      <c r="J138" s="678"/>
      <c r="K138" s="678">
        <f t="shared" si="26"/>
        <v>183.46565888775768</v>
      </c>
      <c r="L138" s="678"/>
      <c r="M138" s="678">
        <f t="shared" si="32"/>
        <v>1539607.9597745559</v>
      </c>
      <c r="O138" s="682">
        <v>45533</v>
      </c>
      <c r="P138" s="678">
        <f t="shared" si="25"/>
        <v>13165.884373037272</v>
      </c>
      <c r="Q138" s="678"/>
      <c r="R138" s="678">
        <f t="shared" si="28"/>
        <v>1.5690848499373184</v>
      </c>
      <c r="S138" s="678"/>
      <c r="T138" s="680">
        <f t="shared" si="22"/>
        <v>13167.45345788721</v>
      </c>
    </row>
    <row r="139" spans="1:20">
      <c r="A139" s="681">
        <v>45534</v>
      </c>
      <c r="B139" s="678">
        <f t="shared" si="29"/>
        <v>630447.20167944115</v>
      </c>
      <c r="C139" s="678"/>
      <c r="D139" s="678">
        <f t="shared" si="27"/>
        <v>75.135488419330656</v>
      </c>
      <c r="E139" s="678"/>
      <c r="F139" s="678">
        <f t="shared" si="30"/>
        <v>630522.33716786047</v>
      </c>
      <c r="H139" s="681">
        <v>45534</v>
      </c>
      <c r="I139" s="678">
        <f t="shared" si="31"/>
        <v>1539607.9597745559</v>
      </c>
      <c r="J139" s="678"/>
      <c r="K139" s="678">
        <f t="shared" si="26"/>
        <v>183.48752397313197</v>
      </c>
      <c r="L139" s="678"/>
      <c r="M139" s="678">
        <f t="shared" si="32"/>
        <v>1539791.4472985291</v>
      </c>
      <c r="O139" s="681">
        <v>45534</v>
      </c>
      <c r="P139" s="678">
        <f t="shared" si="25"/>
        <v>13167.45345788721</v>
      </c>
      <c r="Q139" s="678"/>
      <c r="R139" s="678">
        <f t="shared" si="28"/>
        <v>1.5692718504605303</v>
      </c>
      <c r="S139" s="678"/>
      <c r="T139" s="680">
        <f t="shared" si="22"/>
        <v>13169.02272973767</v>
      </c>
    </row>
    <row r="140" spans="1:20">
      <c r="A140" s="681">
        <v>45535</v>
      </c>
      <c r="B140" s="678">
        <f t="shared" si="29"/>
        <v>630522.33716786047</v>
      </c>
      <c r="C140" s="678"/>
      <c r="D140" s="678">
        <f t="shared" si="27"/>
        <v>75.144442922745014</v>
      </c>
      <c r="E140" s="678">
        <f>+E109</f>
        <v>81000.5</v>
      </c>
      <c r="F140" s="678">
        <f t="shared" si="30"/>
        <v>549596.98161078326</v>
      </c>
      <c r="H140" s="681">
        <v>45535</v>
      </c>
      <c r="I140" s="678">
        <f t="shared" si="31"/>
        <v>1539791.4472985291</v>
      </c>
      <c r="J140" s="678"/>
      <c r="K140" s="678">
        <f t="shared" si="26"/>
        <v>183.50939166434523</v>
      </c>
      <c r="L140" s="678"/>
      <c r="M140" s="678">
        <f t="shared" si="32"/>
        <v>1539974.9566901934</v>
      </c>
      <c r="O140" s="681">
        <v>45535</v>
      </c>
      <c r="P140" s="678">
        <f t="shared" si="25"/>
        <v>13169.02272973767</v>
      </c>
      <c r="Q140" s="678"/>
      <c r="R140" s="678">
        <f t="shared" si="28"/>
        <v>1.5694588732701056</v>
      </c>
      <c r="S140" s="678"/>
      <c r="T140" s="680">
        <f t="shared" si="22"/>
        <v>13170.592188610939</v>
      </c>
    </row>
    <row r="141" spans="1:20">
      <c r="A141" s="681">
        <v>45536</v>
      </c>
      <c r="B141" s="678">
        <f t="shared" si="29"/>
        <v>549596.98161078326</v>
      </c>
      <c r="C141" s="678"/>
      <c r="D141" s="678">
        <f t="shared" si="27"/>
        <v>65.499914246764575</v>
      </c>
      <c r="E141" s="678"/>
      <c r="F141" s="678">
        <f t="shared" si="30"/>
        <v>549662.48152502999</v>
      </c>
      <c r="H141" s="681">
        <v>45536</v>
      </c>
      <c r="I141" s="678">
        <f t="shared" si="31"/>
        <v>1539974.9566901934</v>
      </c>
      <c r="J141" s="678"/>
      <c r="K141" s="678">
        <f t="shared" si="26"/>
        <v>183.53126196170797</v>
      </c>
      <c r="L141" s="678"/>
      <c r="M141" s="678">
        <f t="shared" si="32"/>
        <v>1540158.4879521551</v>
      </c>
      <c r="O141" s="681">
        <v>45536</v>
      </c>
      <c r="P141" s="678">
        <f t="shared" si="25"/>
        <v>13170.592188610939</v>
      </c>
      <c r="Q141" s="678"/>
      <c r="R141" s="678">
        <f t="shared" si="28"/>
        <v>1.5696459183687008</v>
      </c>
      <c r="S141" s="678"/>
      <c r="T141" s="680">
        <f t="shared" si="22"/>
        <v>13172.161834529308</v>
      </c>
    </row>
    <row r="142" spans="1:20">
      <c r="A142" s="682">
        <v>45537</v>
      </c>
      <c r="B142" s="678">
        <f t="shared" si="29"/>
        <v>549662.48152502999</v>
      </c>
      <c r="C142" s="678"/>
      <c r="D142" s="678">
        <f t="shared" si="27"/>
        <v>65.507720400928235</v>
      </c>
      <c r="E142" s="678"/>
      <c r="F142" s="678">
        <f t="shared" si="30"/>
        <v>549727.98924543092</v>
      </c>
      <c r="H142" s="682">
        <v>45537</v>
      </c>
      <c r="I142" s="678">
        <f t="shared" si="31"/>
        <v>1540158.4879521551</v>
      </c>
      <c r="J142" s="678"/>
      <c r="K142" s="678">
        <f t="shared" si="26"/>
        <v>183.55313486553081</v>
      </c>
      <c r="L142" s="678"/>
      <c r="M142" s="678">
        <f t="shared" si="32"/>
        <v>1540342.0410870207</v>
      </c>
      <c r="O142" s="682">
        <v>45537</v>
      </c>
      <c r="P142" s="678">
        <f t="shared" si="25"/>
        <v>13172.161834529308</v>
      </c>
      <c r="Q142" s="678"/>
      <c r="R142" s="678">
        <f t="shared" si="28"/>
        <v>1.5698329857589723</v>
      </c>
      <c r="S142" s="678"/>
      <c r="T142" s="680">
        <f t="shared" ref="T142:T205" si="33">+P142+Q142+R142-S142</f>
        <v>13173.731667515067</v>
      </c>
    </row>
    <row r="143" spans="1:20">
      <c r="A143" s="681">
        <v>45538</v>
      </c>
      <c r="B143" s="678">
        <f t="shared" si="29"/>
        <v>549727.98924543092</v>
      </c>
      <c r="C143" s="678"/>
      <c r="D143" s="678">
        <f t="shared" si="27"/>
        <v>65.515527485414367</v>
      </c>
      <c r="E143" s="678"/>
      <c r="F143" s="678">
        <f t="shared" si="30"/>
        <v>549793.50477291632</v>
      </c>
      <c r="H143" s="681">
        <v>45538</v>
      </c>
      <c r="I143" s="678">
        <f t="shared" si="31"/>
        <v>1540342.0410870207</v>
      </c>
      <c r="J143" s="678"/>
      <c r="K143" s="678">
        <f t="shared" si="26"/>
        <v>183.5750103761244</v>
      </c>
      <c r="L143" s="678"/>
      <c r="M143" s="678">
        <f t="shared" si="32"/>
        <v>1540525.6160973967</v>
      </c>
      <c r="O143" s="681">
        <v>45538</v>
      </c>
      <c r="P143" s="678">
        <f t="shared" ref="P143:P206" si="34">+T142</f>
        <v>13173.731667515067</v>
      </c>
      <c r="Q143" s="678"/>
      <c r="R143" s="678">
        <f t="shared" si="28"/>
        <v>1.5700200754435765</v>
      </c>
      <c r="S143" s="678"/>
      <c r="T143" s="680">
        <f t="shared" si="33"/>
        <v>13175.30168759051</v>
      </c>
    </row>
    <row r="144" spans="1:20">
      <c r="A144" s="681">
        <v>45539</v>
      </c>
      <c r="B144" s="678">
        <f t="shared" si="29"/>
        <v>549793.50477291632</v>
      </c>
      <c r="C144" s="678"/>
      <c r="D144" s="678">
        <f t="shared" si="27"/>
        <v>65.523335500333857</v>
      </c>
      <c r="E144" s="678"/>
      <c r="F144" s="678">
        <f t="shared" si="30"/>
        <v>549859.02810841671</v>
      </c>
      <c r="H144" s="681">
        <v>45539</v>
      </c>
      <c r="I144" s="678">
        <f t="shared" si="31"/>
        <v>1540525.6160973967</v>
      </c>
      <c r="J144" s="678"/>
      <c r="K144" s="678">
        <f t="shared" si="26"/>
        <v>183.5968884937993</v>
      </c>
      <c r="L144" s="678"/>
      <c r="M144" s="678">
        <f t="shared" si="32"/>
        <v>1540709.2129858905</v>
      </c>
      <c r="O144" s="681">
        <v>45539</v>
      </c>
      <c r="P144" s="678">
        <f t="shared" si="34"/>
        <v>13175.30168759051</v>
      </c>
      <c r="Q144" s="678"/>
      <c r="R144" s="678">
        <f t="shared" si="28"/>
        <v>1.5702071874251702</v>
      </c>
      <c r="S144" s="678"/>
      <c r="T144" s="680">
        <f t="shared" si="33"/>
        <v>13176.871894777936</v>
      </c>
    </row>
    <row r="145" spans="1:20">
      <c r="A145" s="681">
        <v>45540</v>
      </c>
      <c r="B145" s="678">
        <f t="shared" si="29"/>
        <v>549859.02810841671</v>
      </c>
      <c r="C145" s="678"/>
      <c r="D145" s="678">
        <f t="shared" si="27"/>
        <v>65.531144445797594</v>
      </c>
      <c r="E145" s="678"/>
      <c r="F145" s="678">
        <f t="shared" si="30"/>
        <v>549924.55925286247</v>
      </c>
      <c r="H145" s="681">
        <v>45540</v>
      </c>
      <c r="I145" s="678">
        <f t="shared" si="31"/>
        <v>1540709.2129858905</v>
      </c>
      <c r="J145" s="678"/>
      <c r="K145" s="678">
        <f t="shared" si="26"/>
        <v>183.61876921886639</v>
      </c>
      <c r="L145" s="678"/>
      <c r="M145" s="678">
        <f t="shared" si="32"/>
        <v>1540892.8317551094</v>
      </c>
      <c r="O145" s="681">
        <v>45540</v>
      </c>
      <c r="P145" s="678">
        <f t="shared" si="34"/>
        <v>13176.871894777936</v>
      </c>
      <c r="Q145" s="678"/>
      <c r="R145" s="678">
        <f t="shared" si="28"/>
        <v>1.5703943217064114</v>
      </c>
      <c r="S145" s="678">
        <f>+P145/10</f>
        <v>1317.6871894777937</v>
      </c>
      <c r="T145" s="680">
        <f t="shared" si="33"/>
        <v>11860.755099621849</v>
      </c>
    </row>
    <row r="146" spans="1:20">
      <c r="A146" s="681">
        <v>45541</v>
      </c>
      <c r="B146" s="678">
        <f t="shared" si="29"/>
        <v>549924.55925286247</v>
      </c>
      <c r="C146" s="678"/>
      <c r="D146" s="678">
        <f t="shared" si="27"/>
        <v>65.538954321916478</v>
      </c>
      <c r="E146" s="678"/>
      <c r="F146" s="678">
        <f t="shared" si="30"/>
        <v>549990.09820718435</v>
      </c>
      <c r="H146" s="681">
        <v>45541</v>
      </c>
      <c r="I146" s="678">
        <f t="shared" si="31"/>
        <v>1540892.8317551094</v>
      </c>
      <c r="J146" s="678"/>
      <c r="K146" s="678">
        <f t="shared" ref="K146:K209" si="35">SUM(I146*$K$1)/365</f>
        <v>183.64065255163629</v>
      </c>
      <c r="L146" s="678"/>
      <c r="M146" s="678">
        <f t="shared" si="32"/>
        <v>1541076.4724076609</v>
      </c>
      <c r="O146" s="681">
        <v>45541</v>
      </c>
      <c r="P146" s="678">
        <f t="shared" si="34"/>
        <v>11860.755099621849</v>
      </c>
      <c r="Q146" s="678"/>
      <c r="R146" s="678">
        <f t="shared" si="28"/>
        <v>1.413542046119316</v>
      </c>
      <c r="S146" s="678"/>
      <c r="T146" s="680">
        <f t="shared" si="33"/>
        <v>11862.168641667968</v>
      </c>
    </row>
    <row r="147" spans="1:20">
      <c r="A147" s="682">
        <v>45542</v>
      </c>
      <c r="B147" s="678">
        <f t="shared" si="29"/>
        <v>549990.09820718435</v>
      </c>
      <c r="C147" s="678"/>
      <c r="D147" s="678">
        <f t="shared" ref="D147:D210" si="36">SUM(B147*$K$1)/365</f>
        <v>65.546765128801425</v>
      </c>
      <c r="E147" s="678"/>
      <c r="F147" s="678">
        <f t="shared" si="30"/>
        <v>550055.6449723132</v>
      </c>
      <c r="H147" s="682">
        <v>45542</v>
      </c>
      <c r="I147" s="678">
        <f t="shared" si="31"/>
        <v>1541076.4724076609</v>
      </c>
      <c r="J147" s="678"/>
      <c r="K147" s="678">
        <f t="shared" si="35"/>
        <v>183.66253849241986</v>
      </c>
      <c r="L147" s="678"/>
      <c r="M147" s="678">
        <f t="shared" si="32"/>
        <v>1541260.1349461533</v>
      </c>
      <c r="O147" s="682">
        <v>45542</v>
      </c>
      <c r="P147" s="678">
        <f t="shared" si="34"/>
        <v>11862.168641667968</v>
      </c>
      <c r="Q147" s="678"/>
      <c r="R147" s="678">
        <f t="shared" si="28"/>
        <v>1.4137105093494702</v>
      </c>
      <c r="S147" s="678"/>
      <c r="T147" s="680">
        <f t="shared" si="33"/>
        <v>11863.582352177316</v>
      </c>
    </row>
    <row r="148" spans="1:20">
      <c r="A148" s="681">
        <v>45543</v>
      </c>
      <c r="B148" s="678">
        <f t="shared" si="29"/>
        <v>550055.6449723132</v>
      </c>
      <c r="C148" s="678"/>
      <c r="D148" s="678">
        <f t="shared" si="36"/>
        <v>65.554576866563352</v>
      </c>
      <c r="E148" s="678"/>
      <c r="F148" s="678">
        <f t="shared" si="30"/>
        <v>550121.19954917976</v>
      </c>
      <c r="H148" s="681">
        <v>45543</v>
      </c>
      <c r="I148" s="678">
        <f t="shared" si="31"/>
        <v>1541260.1349461533</v>
      </c>
      <c r="J148" s="678"/>
      <c r="K148" s="678">
        <f t="shared" si="35"/>
        <v>183.68442704152784</v>
      </c>
      <c r="L148" s="678"/>
      <c r="M148" s="678">
        <f t="shared" si="32"/>
        <v>1541443.8193731948</v>
      </c>
      <c r="O148" s="681">
        <v>45543</v>
      </c>
      <c r="P148" s="678">
        <f t="shared" si="34"/>
        <v>11863.582352177316</v>
      </c>
      <c r="Q148" s="678"/>
      <c r="R148" s="678">
        <f t="shared" si="28"/>
        <v>1.4138789926567485</v>
      </c>
      <c r="S148" s="678"/>
      <c r="T148" s="680">
        <f t="shared" si="33"/>
        <v>11864.996231169973</v>
      </c>
    </row>
    <row r="149" spans="1:20">
      <c r="A149" s="681">
        <v>45544</v>
      </c>
      <c r="B149" s="678">
        <f t="shared" si="29"/>
        <v>550121.19954917976</v>
      </c>
      <c r="C149" s="678"/>
      <c r="D149" s="678">
        <f t="shared" si="36"/>
        <v>65.562389535313201</v>
      </c>
      <c r="E149" s="678"/>
      <c r="F149" s="678">
        <f t="shared" si="30"/>
        <v>550186.76193871512</v>
      </c>
      <c r="H149" s="681">
        <v>45544</v>
      </c>
      <c r="I149" s="678">
        <f t="shared" si="31"/>
        <v>1541443.8193731948</v>
      </c>
      <c r="J149" s="678"/>
      <c r="K149" s="678">
        <f t="shared" si="35"/>
        <v>183.70631819927115</v>
      </c>
      <c r="L149" s="678"/>
      <c r="M149" s="678">
        <f t="shared" si="32"/>
        <v>1541627.525691394</v>
      </c>
      <c r="O149" s="681">
        <v>45544</v>
      </c>
      <c r="P149" s="678">
        <f t="shared" si="34"/>
        <v>11864.996231169973</v>
      </c>
      <c r="Q149" s="678"/>
      <c r="R149" s="678">
        <f t="shared" ref="R149:R212" si="37">SUM(P149*$K$1)/365</f>
        <v>1.4140474960435447</v>
      </c>
      <c r="S149" s="678"/>
      <c r="T149" s="680">
        <f t="shared" si="33"/>
        <v>11866.410278666017</v>
      </c>
    </row>
    <row r="150" spans="1:20">
      <c r="A150" s="681">
        <v>45545</v>
      </c>
      <c r="B150" s="678">
        <f t="shared" si="29"/>
        <v>550186.76193871512</v>
      </c>
      <c r="C150" s="678"/>
      <c r="D150" s="678">
        <f t="shared" si="36"/>
        <v>65.570203135161933</v>
      </c>
      <c r="E150" s="678"/>
      <c r="F150" s="678">
        <f t="shared" si="30"/>
        <v>550252.33214185026</v>
      </c>
      <c r="H150" s="681">
        <v>45545</v>
      </c>
      <c r="I150" s="678">
        <f t="shared" si="31"/>
        <v>1541627.525691394</v>
      </c>
      <c r="J150" s="678"/>
      <c r="K150" s="678">
        <f t="shared" si="35"/>
        <v>183.72821196596064</v>
      </c>
      <c r="L150" s="678"/>
      <c r="M150" s="678">
        <f t="shared" si="32"/>
        <v>1541811.2539033599</v>
      </c>
      <c r="O150" s="681">
        <v>45545</v>
      </c>
      <c r="P150" s="678">
        <f t="shared" si="34"/>
        <v>11866.410278666017</v>
      </c>
      <c r="Q150" s="678"/>
      <c r="R150" s="678">
        <f t="shared" si="37"/>
        <v>1.4142160195122511</v>
      </c>
      <c r="S150" s="678"/>
      <c r="T150" s="680">
        <f t="shared" si="33"/>
        <v>11867.824494685528</v>
      </c>
    </row>
    <row r="151" spans="1:20">
      <c r="A151" s="682">
        <v>45546</v>
      </c>
      <c r="B151" s="678">
        <f t="shared" si="29"/>
        <v>550252.33214185026</v>
      </c>
      <c r="C151" s="678"/>
      <c r="D151" s="678">
        <f t="shared" si="36"/>
        <v>65.578017666220504</v>
      </c>
      <c r="E151" s="678"/>
      <c r="F151" s="678">
        <f t="shared" si="30"/>
        <v>550317.9101595165</v>
      </c>
      <c r="H151" s="682">
        <v>45546</v>
      </c>
      <c r="I151" s="678">
        <f t="shared" si="31"/>
        <v>1541811.2539033599</v>
      </c>
      <c r="J151" s="678"/>
      <c r="K151" s="678">
        <f t="shared" si="35"/>
        <v>183.75010834190726</v>
      </c>
      <c r="L151" s="678"/>
      <c r="M151" s="678">
        <f t="shared" si="32"/>
        <v>1541995.0040117018</v>
      </c>
      <c r="O151" s="682">
        <v>45546</v>
      </c>
      <c r="P151" s="678">
        <f t="shared" si="34"/>
        <v>11867.824494685528</v>
      </c>
      <c r="Q151" s="678"/>
      <c r="R151" s="678">
        <f t="shared" si="37"/>
        <v>1.4143845630652614</v>
      </c>
      <c r="S151" s="678"/>
      <c r="T151" s="680">
        <f t="shared" si="33"/>
        <v>11869.238879248594</v>
      </c>
    </row>
    <row r="152" spans="1:20">
      <c r="A152" s="681">
        <v>45547</v>
      </c>
      <c r="B152" s="678">
        <f t="shared" si="29"/>
        <v>550317.9101595165</v>
      </c>
      <c r="C152" s="678"/>
      <c r="D152" s="678">
        <f t="shared" si="36"/>
        <v>65.585833128599901</v>
      </c>
      <c r="E152" s="678"/>
      <c r="F152" s="678">
        <f t="shared" si="30"/>
        <v>550383.49599264516</v>
      </c>
      <c r="H152" s="681">
        <v>45547</v>
      </c>
      <c r="I152" s="678">
        <f t="shared" si="31"/>
        <v>1541995.0040117018</v>
      </c>
      <c r="J152" s="678"/>
      <c r="K152" s="678">
        <f t="shared" si="35"/>
        <v>183.77200732742199</v>
      </c>
      <c r="L152" s="678"/>
      <c r="M152" s="678">
        <f t="shared" si="32"/>
        <v>1542178.7760190293</v>
      </c>
      <c r="O152" s="681">
        <v>45547</v>
      </c>
      <c r="P152" s="678">
        <f t="shared" si="34"/>
        <v>11869.238879248594</v>
      </c>
      <c r="Q152" s="678"/>
      <c r="R152" s="678">
        <f t="shared" si="37"/>
        <v>1.4145531267049694</v>
      </c>
      <c r="S152" s="678"/>
      <c r="T152" s="680">
        <f t="shared" si="33"/>
        <v>11870.6534323753</v>
      </c>
    </row>
    <row r="153" spans="1:20">
      <c r="A153" s="681">
        <v>45548</v>
      </c>
      <c r="B153" s="678">
        <f t="shared" si="29"/>
        <v>550383.49599264516</v>
      </c>
      <c r="C153" s="678"/>
      <c r="D153" s="678">
        <f t="shared" si="36"/>
        <v>65.593649522411127</v>
      </c>
      <c r="E153" s="678"/>
      <c r="F153" s="678">
        <f t="shared" si="30"/>
        <v>550449.08964216756</v>
      </c>
      <c r="H153" s="681">
        <v>45548</v>
      </c>
      <c r="I153" s="678">
        <f t="shared" si="31"/>
        <v>1542178.7760190293</v>
      </c>
      <c r="J153" s="678"/>
      <c r="K153" s="678">
        <f t="shared" si="35"/>
        <v>183.79390892281583</v>
      </c>
      <c r="L153" s="678"/>
      <c r="M153" s="678">
        <f t="shared" si="32"/>
        <v>1542362.569927952</v>
      </c>
      <c r="O153" s="681">
        <v>45548</v>
      </c>
      <c r="P153" s="678">
        <f t="shared" si="34"/>
        <v>11870.6534323753</v>
      </c>
      <c r="Q153" s="678"/>
      <c r="R153" s="678">
        <f t="shared" si="37"/>
        <v>1.4147217104337686</v>
      </c>
      <c r="S153" s="678"/>
      <c r="T153" s="680">
        <f t="shared" si="33"/>
        <v>11872.068154085735</v>
      </c>
    </row>
    <row r="154" spans="1:20">
      <c r="A154" s="681">
        <v>45549</v>
      </c>
      <c r="B154" s="678">
        <f t="shared" si="29"/>
        <v>550449.08964216756</v>
      </c>
      <c r="C154" s="678"/>
      <c r="D154" s="678">
        <f t="shared" si="36"/>
        <v>65.601466847765167</v>
      </c>
      <c r="E154" s="678"/>
      <c r="F154" s="678">
        <f t="shared" si="30"/>
        <v>550514.69110901537</v>
      </c>
      <c r="H154" s="681">
        <v>45549</v>
      </c>
      <c r="I154" s="678">
        <f t="shared" si="31"/>
        <v>1542362.569927952</v>
      </c>
      <c r="J154" s="678"/>
      <c r="K154" s="678">
        <f t="shared" si="35"/>
        <v>183.81581312839972</v>
      </c>
      <c r="L154" s="678"/>
      <c r="M154" s="678">
        <f t="shared" si="32"/>
        <v>1542546.3857410804</v>
      </c>
      <c r="O154" s="681">
        <v>45549</v>
      </c>
      <c r="P154" s="678">
        <f t="shared" si="34"/>
        <v>11872.068154085735</v>
      </c>
      <c r="Q154" s="678"/>
      <c r="R154" s="678">
        <f t="shared" si="37"/>
        <v>1.4148903142540532</v>
      </c>
      <c r="S154" s="678"/>
      <c r="T154" s="680">
        <f t="shared" si="33"/>
        <v>11873.483044399989</v>
      </c>
    </row>
    <row r="155" spans="1:20">
      <c r="A155" s="681">
        <v>45550</v>
      </c>
      <c r="B155" s="678">
        <f t="shared" si="29"/>
        <v>550514.69110901537</v>
      </c>
      <c r="C155" s="678">
        <f>SUM($D$451+$D$452+$D$453)/12</f>
        <v>73029.166666666672</v>
      </c>
      <c r="D155" s="678">
        <f t="shared" si="36"/>
        <v>65.609285104773065</v>
      </c>
      <c r="E155" s="678"/>
      <c r="F155" s="678">
        <f t="shared" si="30"/>
        <v>623609.46706078679</v>
      </c>
      <c r="H155" s="681">
        <v>45550</v>
      </c>
      <c r="I155" s="678">
        <f t="shared" si="31"/>
        <v>1542546.3857410804</v>
      </c>
      <c r="J155" s="678"/>
      <c r="K155" s="678">
        <f t="shared" si="35"/>
        <v>183.83771994448492</v>
      </c>
      <c r="L155" s="678"/>
      <c r="M155" s="678">
        <f t="shared" si="32"/>
        <v>1542730.2234610249</v>
      </c>
      <c r="O155" s="681">
        <v>45550</v>
      </c>
      <c r="P155" s="678">
        <f t="shared" si="34"/>
        <v>11873.483044399989</v>
      </c>
      <c r="Q155" s="678"/>
      <c r="R155" s="678">
        <f t="shared" si="37"/>
        <v>1.4150589381682179</v>
      </c>
      <c r="S155" s="678"/>
      <c r="T155" s="680">
        <f t="shared" si="33"/>
        <v>11874.898103338157</v>
      </c>
    </row>
    <row r="156" spans="1:20">
      <c r="A156" s="682">
        <v>45551</v>
      </c>
      <c r="B156" s="678">
        <f t="shared" si="29"/>
        <v>623609.46706078679</v>
      </c>
      <c r="C156" s="678"/>
      <c r="D156" s="678">
        <f t="shared" si="36"/>
        <v>74.32058032094308</v>
      </c>
      <c r="E156" s="678"/>
      <c r="F156" s="678">
        <f t="shared" si="30"/>
        <v>623683.78764110769</v>
      </c>
      <c r="H156" s="682">
        <v>45551</v>
      </c>
      <c r="I156" s="678">
        <f t="shared" si="31"/>
        <v>1542730.2234610249</v>
      </c>
      <c r="J156" s="678"/>
      <c r="K156" s="678">
        <f t="shared" si="35"/>
        <v>183.8596293713824</v>
      </c>
      <c r="L156" s="678"/>
      <c r="M156" s="678">
        <f t="shared" si="32"/>
        <v>1542914.0830903964</v>
      </c>
      <c r="O156" s="682">
        <v>45551</v>
      </c>
      <c r="P156" s="678">
        <f t="shared" si="34"/>
        <v>11874.898103338157</v>
      </c>
      <c r="Q156" s="678"/>
      <c r="R156" s="678">
        <f t="shared" si="37"/>
        <v>1.4152275821786571</v>
      </c>
      <c r="S156" s="678"/>
      <c r="T156" s="680">
        <f t="shared" si="33"/>
        <v>11876.313330920335</v>
      </c>
    </row>
    <row r="157" spans="1:20">
      <c r="A157" s="681">
        <v>45552</v>
      </c>
      <c r="B157" s="678">
        <f t="shared" si="29"/>
        <v>623683.78764110769</v>
      </c>
      <c r="C157" s="678"/>
      <c r="D157" s="678">
        <f t="shared" si="36"/>
        <v>74.329437705173106</v>
      </c>
      <c r="E157" s="678"/>
      <c r="F157" s="678">
        <f t="shared" si="30"/>
        <v>623758.11707881291</v>
      </c>
      <c r="H157" s="681">
        <v>45552</v>
      </c>
      <c r="I157" s="678">
        <f t="shared" si="31"/>
        <v>1542914.0830903964</v>
      </c>
      <c r="J157" s="678"/>
      <c r="K157" s="678">
        <f t="shared" si="35"/>
        <v>183.88154140940341</v>
      </c>
      <c r="L157" s="678"/>
      <c r="M157" s="678">
        <f t="shared" si="32"/>
        <v>1543097.9646318057</v>
      </c>
      <c r="O157" s="681">
        <v>45552</v>
      </c>
      <c r="P157" s="678">
        <f t="shared" si="34"/>
        <v>11876.313330920335</v>
      </c>
      <c r="Q157" s="678"/>
      <c r="R157" s="678">
        <f t="shared" si="37"/>
        <v>1.4153962462877658</v>
      </c>
      <c r="S157" s="678"/>
      <c r="T157" s="680">
        <f t="shared" si="33"/>
        <v>11877.728727166623</v>
      </c>
    </row>
    <row r="158" spans="1:20">
      <c r="A158" s="681">
        <v>45553</v>
      </c>
      <c r="B158" s="678">
        <f t="shared" si="29"/>
        <v>623758.11707881291</v>
      </c>
      <c r="C158" s="678"/>
      <c r="D158" s="678">
        <f t="shared" si="36"/>
        <v>74.338296145009195</v>
      </c>
      <c r="E158" s="678"/>
      <c r="F158" s="678">
        <f t="shared" si="30"/>
        <v>623832.45537495788</v>
      </c>
      <c r="H158" s="681">
        <v>45553</v>
      </c>
      <c r="I158" s="678">
        <f t="shared" si="31"/>
        <v>1543097.9646318057</v>
      </c>
      <c r="J158" s="678"/>
      <c r="K158" s="678">
        <f t="shared" si="35"/>
        <v>183.90345605885904</v>
      </c>
      <c r="L158" s="678"/>
      <c r="M158" s="678">
        <f t="shared" si="32"/>
        <v>1543281.8680878645</v>
      </c>
      <c r="O158" s="681">
        <v>45553</v>
      </c>
      <c r="P158" s="678">
        <f t="shared" si="34"/>
        <v>11877.728727166623</v>
      </c>
      <c r="Q158" s="678"/>
      <c r="R158" s="678">
        <f t="shared" si="37"/>
        <v>1.4155649304979399</v>
      </c>
      <c r="S158" s="678"/>
      <c r="T158" s="680">
        <f t="shared" si="33"/>
        <v>11879.14429209712</v>
      </c>
    </row>
    <row r="159" spans="1:20">
      <c r="A159" s="681">
        <v>45554</v>
      </c>
      <c r="B159" s="678">
        <f t="shared" si="29"/>
        <v>623832.45537495788</v>
      </c>
      <c r="C159" s="678"/>
      <c r="D159" s="678">
        <f t="shared" si="36"/>
        <v>74.347155640577171</v>
      </c>
      <c r="E159" s="678"/>
      <c r="F159" s="678">
        <f t="shared" si="30"/>
        <v>623906.80253059848</v>
      </c>
      <c r="H159" s="681">
        <v>45554</v>
      </c>
      <c r="I159" s="678">
        <f t="shared" si="31"/>
        <v>1543281.8680878645</v>
      </c>
      <c r="J159" s="678"/>
      <c r="K159" s="678">
        <f t="shared" si="35"/>
        <v>183.92537332006054</v>
      </c>
      <c r="L159" s="678"/>
      <c r="M159" s="678">
        <f t="shared" si="32"/>
        <v>1543465.7934611845</v>
      </c>
      <c r="O159" s="681">
        <v>45554</v>
      </c>
      <c r="P159" s="678">
        <f t="shared" si="34"/>
        <v>11879.14429209712</v>
      </c>
      <c r="Q159" s="678"/>
      <c r="R159" s="678">
        <f t="shared" si="37"/>
        <v>1.4157336348115745</v>
      </c>
      <c r="S159" s="678"/>
      <c r="T159" s="680">
        <f t="shared" si="33"/>
        <v>11880.560025731931</v>
      </c>
    </row>
    <row r="160" spans="1:20">
      <c r="A160" s="682">
        <v>45555</v>
      </c>
      <c r="B160" s="678">
        <f t="shared" si="29"/>
        <v>623906.80253059848</v>
      </c>
      <c r="C160" s="678"/>
      <c r="D160" s="678">
        <f t="shared" si="36"/>
        <v>74.356016192002826</v>
      </c>
      <c r="E160" s="678"/>
      <c r="F160" s="678">
        <f t="shared" si="30"/>
        <v>623981.15854679048</v>
      </c>
      <c r="H160" s="682">
        <v>45555</v>
      </c>
      <c r="I160" s="678">
        <f t="shared" si="31"/>
        <v>1543465.7934611845</v>
      </c>
      <c r="J160" s="678"/>
      <c r="K160" s="678">
        <f t="shared" si="35"/>
        <v>183.94729319331921</v>
      </c>
      <c r="L160" s="678"/>
      <c r="M160" s="678">
        <f t="shared" si="32"/>
        <v>1543649.7407543778</v>
      </c>
      <c r="O160" s="682">
        <v>45555</v>
      </c>
      <c r="P160" s="678">
        <f t="shared" si="34"/>
        <v>11880.560025731931</v>
      </c>
      <c r="Q160" s="678"/>
      <c r="R160" s="678">
        <f t="shared" si="37"/>
        <v>1.4159023592310658</v>
      </c>
      <c r="S160" s="678"/>
      <c r="T160" s="680">
        <f t="shared" si="33"/>
        <v>11881.975928091162</v>
      </c>
    </row>
    <row r="161" spans="1:20">
      <c r="A161" s="681">
        <v>45556</v>
      </c>
      <c r="B161" s="678">
        <f t="shared" si="29"/>
        <v>623981.15854679048</v>
      </c>
      <c r="C161" s="678"/>
      <c r="D161" s="678">
        <f t="shared" si="36"/>
        <v>74.364877799412014</v>
      </c>
      <c r="E161" s="678"/>
      <c r="F161" s="678">
        <f t="shared" si="30"/>
        <v>624055.52342458989</v>
      </c>
      <c r="H161" s="681">
        <v>45556</v>
      </c>
      <c r="I161" s="678">
        <f t="shared" si="31"/>
        <v>1543649.7407543778</v>
      </c>
      <c r="J161" s="678"/>
      <c r="K161" s="678">
        <f t="shared" si="35"/>
        <v>183.9692156789464</v>
      </c>
      <c r="L161" s="678"/>
      <c r="M161" s="678">
        <f t="shared" si="32"/>
        <v>1543833.7099700568</v>
      </c>
      <c r="O161" s="681">
        <v>45556</v>
      </c>
      <c r="P161" s="678">
        <f t="shared" si="34"/>
        <v>11881.975928091162</v>
      </c>
      <c r="Q161" s="678"/>
      <c r="R161" s="678">
        <f t="shared" si="37"/>
        <v>1.4160711037588096</v>
      </c>
      <c r="S161" s="678"/>
      <c r="T161" s="680">
        <f t="shared" si="33"/>
        <v>11883.391999194921</v>
      </c>
    </row>
    <row r="162" spans="1:20">
      <c r="A162" s="681">
        <v>45557</v>
      </c>
      <c r="B162" s="678">
        <f t="shared" si="29"/>
        <v>624055.52342458989</v>
      </c>
      <c r="C162" s="678"/>
      <c r="D162" s="678">
        <f t="shared" si="36"/>
        <v>74.37374046293057</v>
      </c>
      <c r="E162" s="678"/>
      <c r="F162" s="678">
        <f t="shared" si="30"/>
        <v>624129.89716505283</v>
      </c>
      <c r="H162" s="681">
        <v>45557</v>
      </c>
      <c r="I162" s="678">
        <f t="shared" si="31"/>
        <v>1543833.7099700568</v>
      </c>
      <c r="J162" s="678"/>
      <c r="K162" s="678">
        <f t="shared" si="35"/>
        <v>183.99114077725335</v>
      </c>
      <c r="L162" s="678"/>
      <c r="M162" s="678">
        <f t="shared" si="32"/>
        <v>1544017.701110834</v>
      </c>
      <c r="O162" s="681">
        <v>45557</v>
      </c>
      <c r="P162" s="678">
        <f t="shared" si="34"/>
        <v>11883.391999194921</v>
      </c>
      <c r="Q162" s="678"/>
      <c r="R162" s="678">
        <f t="shared" si="37"/>
        <v>1.4162398683972026</v>
      </c>
      <c r="S162" s="678"/>
      <c r="T162" s="680">
        <f t="shared" si="33"/>
        <v>11884.808239063317</v>
      </c>
    </row>
    <row r="163" spans="1:20">
      <c r="A163" s="681">
        <v>45558</v>
      </c>
      <c r="B163" s="678">
        <f t="shared" si="29"/>
        <v>624129.89716505283</v>
      </c>
      <c r="C163" s="678"/>
      <c r="D163" s="678">
        <f t="shared" si="36"/>
        <v>74.382604182684375</v>
      </c>
      <c r="E163" s="678"/>
      <c r="F163" s="678">
        <f t="shared" si="30"/>
        <v>624204.27976923552</v>
      </c>
      <c r="H163" s="681">
        <v>45558</v>
      </c>
      <c r="I163" s="678">
        <f t="shared" si="31"/>
        <v>1544017.701110834</v>
      </c>
      <c r="J163" s="678"/>
      <c r="K163" s="678">
        <f t="shared" si="35"/>
        <v>184.01306848855145</v>
      </c>
      <c r="L163" s="678"/>
      <c r="M163" s="678">
        <f t="shared" si="32"/>
        <v>1544201.7141793226</v>
      </c>
      <c r="O163" s="681">
        <v>45558</v>
      </c>
      <c r="P163" s="678">
        <f t="shared" si="34"/>
        <v>11884.808239063317</v>
      </c>
      <c r="Q163" s="678"/>
      <c r="R163" s="678">
        <f t="shared" si="37"/>
        <v>1.4164086531486419</v>
      </c>
      <c r="S163" s="678"/>
      <c r="T163" s="680">
        <f t="shared" si="33"/>
        <v>11886.224647716466</v>
      </c>
    </row>
    <row r="164" spans="1:20">
      <c r="A164" s="681">
        <v>45559</v>
      </c>
      <c r="B164" s="678">
        <f t="shared" si="29"/>
        <v>624204.27976923552</v>
      </c>
      <c r="C164" s="678"/>
      <c r="D164" s="678">
        <f t="shared" si="36"/>
        <v>74.391468958799294</v>
      </c>
      <c r="E164" s="678"/>
      <c r="F164" s="678">
        <f t="shared" si="30"/>
        <v>624278.67123819434</v>
      </c>
      <c r="H164" s="681">
        <v>45559</v>
      </c>
      <c r="I164" s="678">
        <f t="shared" si="31"/>
        <v>1544201.7141793226</v>
      </c>
      <c r="J164" s="678"/>
      <c r="K164" s="678">
        <f t="shared" si="35"/>
        <v>184.03499881315213</v>
      </c>
      <c r="L164" s="678"/>
      <c r="M164" s="678">
        <f t="shared" si="32"/>
        <v>1544385.7491781358</v>
      </c>
      <c r="O164" s="681">
        <v>45559</v>
      </c>
      <c r="P164" s="678">
        <f t="shared" si="34"/>
        <v>11886.224647716466</v>
      </c>
      <c r="Q164" s="678"/>
      <c r="R164" s="678">
        <f t="shared" si="37"/>
        <v>1.4165774580155239</v>
      </c>
      <c r="S164" s="678"/>
      <c r="T164" s="680">
        <f t="shared" si="33"/>
        <v>11887.641225174482</v>
      </c>
    </row>
    <row r="165" spans="1:20">
      <c r="A165" s="682">
        <v>45560</v>
      </c>
      <c r="B165" s="678">
        <f t="shared" si="29"/>
        <v>624278.67123819434</v>
      </c>
      <c r="C165" s="678"/>
      <c r="D165" s="678">
        <f t="shared" si="36"/>
        <v>74.400334791401235</v>
      </c>
      <c r="E165" s="678"/>
      <c r="F165" s="678">
        <f t="shared" si="30"/>
        <v>624353.07157298573</v>
      </c>
      <c r="H165" s="682">
        <v>45560</v>
      </c>
      <c r="I165" s="678">
        <f t="shared" si="31"/>
        <v>1544385.7491781358</v>
      </c>
      <c r="J165" s="678"/>
      <c r="K165" s="678">
        <f t="shared" si="35"/>
        <v>184.05693175136685</v>
      </c>
      <c r="L165" s="678"/>
      <c r="M165" s="678">
        <f t="shared" si="32"/>
        <v>1544569.8061098871</v>
      </c>
      <c r="O165" s="682">
        <v>45560</v>
      </c>
      <c r="P165" s="678">
        <f t="shared" si="34"/>
        <v>11887.641225174482</v>
      </c>
      <c r="Q165" s="678"/>
      <c r="R165" s="678">
        <f t="shared" si="37"/>
        <v>1.4167462830002466</v>
      </c>
      <c r="S165" s="678"/>
      <c r="T165" s="680">
        <f t="shared" si="33"/>
        <v>11889.057971457483</v>
      </c>
    </row>
    <row r="166" spans="1:20">
      <c r="A166" s="681">
        <v>45561</v>
      </c>
      <c r="B166" s="678">
        <f t="shared" si="29"/>
        <v>624353.07157298573</v>
      </c>
      <c r="C166" s="678"/>
      <c r="D166" s="678">
        <f t="shared" si="36"/>
        <v>74.409201680616093</v>
      </c>
      <c r="E166" s="678"/>
      <c r="F166" s="678">
        <f t="shared" si="30"/>
        <v>624427.4807746663</v>
      </c>
      <c r="H166" s="681">
        <v>45561</v>
      </c>
      <c r="I166" s="678">
        <f t="shared" si="31"/>
        <v>1544569.8061098871</v>
      </c>
      <c r="J166" s="678"/>
      <c r="K166" s="678">
        <f t="shared" si="35"/>
        <v>184.07886730350708</v>
      </c>
      <c r="L166" s="678"/>
      <c r="M166" s="678">
        <f t="shared" si="32"/>
        <v>1544753.8849771905</v>
      </c>
      <c r="O166" s="681">
        <v>45561</v>
      </c>
      <c r="P166" s="678">
        <f t="shared" si="34"/>
        <v>11889.057971457483</v>
      </c>
      <c r="Q166" s="678"/>
      <c r="R166" s="678">
        <f t="shared" si="37"/>
        <v>1.4169151281052068</v>
      </c>
      <c r="S166" s="678"/>
      <c r="T166" s="680">
        <f t="shared" si="33"/>
        <v>11890.474886585589</v>
      </c>
    </row>
    <row r="167" spans="1:20">
      <c r="A167" s="681">
        <v>45562</v>
      </c>
      <c r="B167" s="678">
        <f t="shared" si="29"/>
        <v>624427.4807746663</v>
      </c>
      <c r="C167" s="678"/>
      <c r="D167" s="678">
        <f t="shared" si="36"/>
        <v>74.418069626569817</v>
      </c>
      <c r="E167" s="678"/>
      <c r="F167" s="678">
        <f t="shared" si="30"/>
        <v>624501.89884429285</v>
      </c>
      <c r="H167" s="681">
        <v>45562</v>
      </c>
      <c r="I167" s="678">
        <f t="shared" si="31"/>
        <v>1544753.8849771905</v>
      </c>
      <c r="J167" s="678"/>
      <c r="K167" s="678">
        <f t="shared" si="35"/>
        <v>184.10080546988434</v>
      </c>
      <c r="L167" s="678"/>
      <c r="M167" s="678">
        <f t="shared" si="32"/>
        <v>1544937.9857826603</v>
      </c>
      <c r="O167" s="681">
        <v>45562</v>
      </c>
      <c r="P167" s="678">
        <f t="shared" si="34"/>
        <v>11890.474886585589</v>
      </c>
      <c r="Q167" s="678"/>
      <c r="R167" s="678">
        <f t="shared" si="37"/>
        <v>1.4170839933328028</v>
      </c>
      <c r="S167" s="678"/>
      <c r="T167" s="680">
        <f t="shared" si="33"/>
        <v>11891.891970578921</v>
      </c>
    </row>
    <row r="168" spans="1:20">
      <c r="A168" s="682">
        <v>45563</v>
      </c>
      <c r="B168" s="678">
        <f t="shared" si="29"/>
        <v>624501.89884429285</v>
      </c>
      <c r="C168" s="678"/>
      <c r="D168" s="678">
        <f t="shared" si="36"/>
        <v>74.426938629388331</v>
      </c>
      <c r="E168" s="678"/>
      <c r="F168" s="678">
        <f t="shared" si="30"/>
        <v>624576.32578292221</v>
      </c>
      <c r="H168" s="682">
        <v>45563</v>
      </c>
      <c r="I168" s="678">
        <f t="shared" si="31"/>
        <v>1544937.9857826603</v>
      </c>
      <c r="J168" s="678"/>
      <c r="K168" s="678">
        <f t="shared" si="35"/>
        <v>184.12274625081017</v>
      </c>
      <c r="L168" s="678"/>
      <c r="M168" s="678">
        <f t="shared" si="32"/>
        <v>1545122.1085289111</v>
      </c>
      <c r="O168" s="682">
        <v>45563</v>
      </c>
      <c r="P168" s="678">
        <f t="shared" si="34"/>
        <v>11891.891970578921</v>
      </c>
      <c r="Q168" s="678"/>
      <c r="R168" s="678">
        <f t="shared" si="37"/>
        <v>1.4172528786854328</v>
      </c>
      <c r="S168" s="678"/>
      <c r="T168" s="680">
        <f t="shared" si="33"/>
        <v>11893.309223457607</v>
      </c>
    </row>
    <row r="169" spans="1:20">
      <c r="A169" s="681">
        <v>45564</v>
      </c>
      <c r="B169" s="678">
        <f t="shared" si="29"/>
        <v>624576.32578292221</v>
      </c>
      <c r="C169" s="678"/>
      <c r="D169" s="678">
        <f t="shared" si="36"/>
        <v>74.435808689197572</v>
      </c>
      <c r="E169" s="678"/>
      <c r="F169" s="678">
        <f t="shared" si="30"/>
        <v>624650.76159161143</v>
      </c>
      <c r="H169" s="681">
        <v>45564</v>
      </c>
      <c r="I169" s="678">
        <f t="shared" si="31"/>
        <v>1545122.1085289111</v>
      </c>
      <c r="J169" s="678"/>
      <c r="K169" s="678">
        <f t="shared" si="35"/>
        <v>184.14468964659625</v>
      </c>
      <c r="L169" s="678"/>
      <c r="M169" s="678">
        <f t="shared" si="32"/>
        <v>1545306.2532185577</v>
      </c>
      <c r="O169" s="681">
        <v>45564</v>
      </c>
      <c r="P169" s="678">
        <f t="shared" si="34"/>
        <v>11893.309223457607</v>
      </c>
      <c r="Q169" s="678"/>
      <c r="R169" s="678">
        <f t="shared" si="37"/>
        <v>1.4174217841654955</v>
      </c>
      <c r="S169" s="678"/>
      <c r="T169" s="680">
        <f t="shared" si="33"/>
        <v>11894.726645241772</v>
      </c>
    </row>
    <row r="170" spans="1:20">
      <c r="A170" s="681">
        <v>45565</v>
      </c>
      <c r="B170" s="678">
        <f t="shared" si="29"/>
        <v>624650.76159161143</v>
      </c>
      <c r="C170" s="678"/>
      <c r="D170" s="678">
        <f t="shared" si="36"/>
        <v>74.444679806123546</v>
      </c>
      <c r="E170" s="678">
        <f>+E140</f>
        <v>81000.5</v>
      </c>
      <c r="F170" s="678">
        <f t="shared" si="30"/>
        <v>543724.70627141756</v>
      </c>
      <c r="H170" s="681">
        <v>45565</v>
      </c>
      <c r="I170" s="678">
        <f t="shared" si="31"/>
        <v>1545306.2532185577</v>
      </c>
      <c r="J170" s="678"/>
      <c r="K170" s="678">
        <f t="shared" si="35"/>
        <v>184.16663565755414</v>
      </c>
      <c r="L170" s="678"/>
      <c r="M170" s="678">
        <f t="shared" si="32"/>
        <v>1545490.4198542153</v>
      </c>
      <c r="O170" s="681">
        <v>45565</v>
      </c>
      <c r="P170" s="678">
        <f t="shared" si="34"/>
        <v>11894.726645241772</v>
      </c>
      <c r="Q170" s="678"/>
      <c r="R170" s="678">
        <f t="shared" si="37"/>
        <v>1.417590709775389</v>
      </c>
      <c r="S170" s="678"/>
      <c r="T170" s="680">
        <f t="shared" si="33"/>
        <v>11896.144235951548</v>
      </c>
    </row>
    <row r="171" spans="1:20">
      <c r="A171" s="682">
        <v>45566</v>
      </c>
      <c r="B171" s="678">
        <f t="shared" si="29"/>
        <v>543724.70627141756</v>
      </c>
      <c r="C171" s="678"/>
      <c r="D171" s="678">
        <f t="shared" si="36"/>
        <v>64.800067733716887</v>
      </c>
      <c r="E171" s="678"/>
      <c r="F171" s="678">
        <f t="shared" si="30"/>
        <v>543789.5063391513</v>
      </c>
      <c r="H171" s="682">
        <v>45566</v>
      </c>
      <c r="I171" s="678">
        <f t="shared" si="31"/>
        <v>1545490.4198542153</v>
      </c>
      <c r="J171" s="678"/>
      <c r="K171" s="678">
        <f t="shared" si="35"/>
        <v>184.18858428399551</v>
      </c>
      <c r="L171" s="678"/>
      <c r="M171" s="678">
        <f t="shared" si="32"/>
        <v>1545674.6084384993</v>
      </c>
      <c r="O171" s="682">
        <v>45566</v>
      </c>
      <c r="P171" s="678">
        <f t="shared" si="34"/>
        <v>11896.144235951548</v>
      </c>
      <c r="Q171" s="678"/>
      <c r="R171" s="678">
        <f t="shared" si="37"/>
        <v>1.4177596555175129</v>
      </c>
      <c r="S171" s="678"/>
      <c r="T171" s="680">
        <f t="shared" si="33"/>
        <v>11897.561995607066</v>
      </c>
    </row>
    <row r="172" spans="1:20">
      <c r="A172" s="681">
        <v>45567</v>
      </c>
      <c r="B172" s="678">
        <f t="shared" si="29"/>
        <v>543789.5063391513</v>
      </c>
      <c r="C172" s="678"/>
      <c r="D172" s="678">
        <f t="shared" si="36"/>
        <v>64.807790481515283</v>
      </c>
      <c r="E172" s="678"/>
      <c r="F172" s="678">
        <f t="shared" si="30"/>
        <v>543854.31412963278</v>
      </c>
      <c r="H172" s="681">
        <v>45567</v>
      </c>
      <c r="I172" s="678">
        <f t="shared" si="31"/>
        <v>1545674.6084384993</v>
      </c>
      <c r="J172" s="678"/>
      <c r="K172" s="678">
        <f t="shared" si="35"/>
        <v>184.21053552623209</v>
      </c>
      <c r="L172" s="678"/>
      <c r="M172" s="678">
        <f t="shared" si="32"/>
        <v>1545858.8189740255</v>
      </c>
      <c r="O172" s="681">
        <v>45567</v>
      </c>
      <c r="P172" s="678">
        <f t="shared" si="34"/>
        <v>11897.561995607066</v>
      </c>
      <c r="Q172" s="678"/>
      <c r="R172" s="678">
        <f t="shared" si="37"/>
        <v>1.4179286213942666</v>
      </c>
      <c r="S172" s="678"/>
      <c r="T172" s="680">
        <f t="shared" si="33"/>
        <v>11898.979924228461</v>
      </c>
    </row>
    <row r="173" spans="1:20">
      <c r="A173" s="681">
        <v>45568</v>
      </c>
      <c r="B173" s="678">
        <f t="shared" si="29"/>
        <v>543854.31412963278</v>
      </c>
      <c r="C173" s="678"/>
      <c r="D173" s="678">
        <f t="shared" si="36"/>
        <v>64.815514149695957</v>
      </c>
      <c r="E173" s="678"/>
      <c r="F173" s="678">
        <f t="shared" si="30"/>
        <v>543919.12964378251</v>
      </c>
      <c r="H173" s="681">
        <v>45568</v>
      </c>
      <c r="I173" s="678">
        <f t="shared" si="31"/>
        <v>1545858.8189740255</v>
      </c>
      <c r="J173" s="678"/>
      <c r="K173" s="678">
        <f t="shared" si="35"/>
        <v>184.23248938457564</v>
      </c>
      <c r="L173" s="678"/>
      <c r="M173" s="678">
        <f t="shared" si="32"/>
        <v>1546043.05146341</v>
      </c>
      <c r="O173" s="681">
        <v>45568</v>
      </c>
      <c r="P173" s="678">
        <f t="shared" si="34"/>
        <v>11898.979924228461</v>
      </c>
      <c r="Q173" s="678"/>
      <c r="R173" s="678">
        <f t="shared" si="37"/>
        <v>1.4180976074080494</v>
      </c>
      <c r="S173" s="678"/>
      <c r="T173" s="680">
        <f t="shared" si="33"/>
        <v>11900.398021835868</v>
      </c>
    </row>
    <row r="174" spans="1:20">
      <c r="A174" s="682">
        <v>45569</v>
      </c>
      <c r="B174" s="678">
        <f t="shared" si="29"/>
        <v>543919.12964378251</v>
      </c>
      <c r="C174" s="678"/>
      <c r="D174" s="678">
        <f t="shared" si="36"/>
        <v>64.823238738368588</v>
      </c>
      <c r="E174" s="678"/>
      <c r="F174" s="678">
        <f t="shared" si="30"/>
        <v>543983.95288252085</v>
      </c>
      <c r="H174" s="682">
        <v>45569</v>
      </c>
      <c r="I174" s="678">
        <f t="shared" si="31"/>
        <v>1546043.05146341</v>
      </c>
      <c r="J174" s="678"/>
      <c r="K174" s="678">
        <f t="shared" si="35"/>
        <v>184.25444585933789</v>
      </c>
      <c r="L174" s="678"/>
      <c r="M174" s="678">
        <f t="shared" si="32"/>
        <v>1546227.3059092693</v>
      </c>
      <c r="O174" s="682">
        <v>45569</v>
      </c>
      <c r="P174" s="678">
        <f t="shared" si="34"/>
        <v>11900.398021835868</v>
      </c>
      <c r="Q174" s="678"/>
      <c r="R174" s="678">
        <f t="shared" si="37"/>
        <v>1.4182666135612609</v>
      </c>
      <c r="S174" s="678"/>
      <c r="T174" s="680">
        <f t="shared" si="33"/>
        <v>11901.81628844943</v>
      </c>
    </row>
    <row r="175" spans="1:20">
      <c r="A175" s="681">
        <v>45570</v>
      </c>
      <c r="B175" s="678">
        <f t="shared" si="29"/>
        <v>543983.95288252085</v>
      </c>
      <c r="C175" s="678"/>
      <c r="D175" s="678">
        <f t="shared" si="36"/>
        <v>64.830964247642882</v>
      </c>
      <c r="E175" s="678"/>
      <c r="F175" s="678">
        <f t="shared" si="30"/>
        <v>544048.78384676855</v>
      </c>
      <c r="H175" s="681">
        <v>45570</v>
      </c>
      <c r="I175" s="678">
        <f t="shared" si="31"/>
        <v>1546227.3059092693</v>
      </c>
      <c r="J175" s="678"/>
      <c r="K175" s="678">
        <f t="shared" si="35"/>
        <v>184.27640495083071</v>
      </c>
      <c r="L175" s="678"/>
      <c r="M175" s="678">
        <f t="shared" si="32"/>
        <v>1546411.58231422</v>
      </c>
      <c r="O175" s="681">
        <v>45570</v>
      </c>
      <c r="P175" s="678">
        <f t="shared" si="34"/>
        <v>11901.81628844943</v>
      </c>
      <c r="Q175" s="678"/>
      <c r="R175" s="678">
        <f t="shared" si="37"/>
        <v>1.4184356398563018</v>
      </c>
      <c r="S175" s="678">
        <f>+P175/9</f>
        <v>1322.4240320499366</v>
      </c>
      <c r="T175" s="680">
        <f t="shared" si="33"/>
        <v>10580.810692039351</v>
      </c>
    </row>
    <row r="176" spans="1:20">
      <c r="A176" s="681">
        <v>45571</v>
      </c>
      <c r="B176" s="678">
        <f t="shared" si="29"/>
        <v>544048.78384676855</v>
      </c>
      <c r="C176" s="678"/>
      <c r="D176" s="678">
        <f t="shared" si="36"/>
        <v>64.838690677628577</v>
      </c>
      <c r="E176" s="678"/>
      <c r="F176" s="678">
        <f t="shared" si="30"/>
        <v>544113.62253744621</v>
      </c>
      <c r="H176" s="681">
        <v>45571</v>
      </c>
      <c r="I176" s="678">
        <f t="shared" si="31"/>
        <v>1546411.58231422</v>
      </c>
      <c r="J176" s="678"/>
      <c r="K176" s="678">
        <f t="shared" si="35"/>
        <v>184.29836665936594</v>
      </c>
      <c r="L176" s="678"/>
      <c r="M176" s="678">
        <f t="shared" si="32"/>
        <v>1546595.8806808793</v>
      </c>
      <c r="O176" s="681">
        <v>45571</v>
      </c>
      <c r="P176" s="678">
        <f t="shared" si="34"/>
        <v>10580.810692039351</v>
      </c>
      <c r="Q176" s="678"/>
      <c r="R176" s="678">
        <f t="shared" si="37"/>
        <v>1.261000726311539</v>
      </c>
      <c r="S176" s="678"/>
      <c r="T176" s="680">
        <f t="shared" si="33"/>
        <v>10582.071692765663</v>
      </c>
    </row>
    <row r="177" spans="1:20">
      <c r="A177" s="682">
        <v>45572</v>
      </c>
      <c r="B177" s="678">
        <f t="shared" si="29"/>
        <v>544113.62253744621</v>
      </c>
      <c r="C177" s="678"/>
      <c r="D177" s="678">
        <f t="shared" si="36"/>
        <v>64.846418028435366</v>
      </c>
      <c r="E177" s="678"/>
      <c r="F177" s="678">
        <f t="shared" si="30"/>
        <v>544178.46895547467</v>
      </c>
      <c r="H177" s="682">
        <v>45572</v>
      </c>
      <c r="I177" s="678">
        <f t="shared" si="31"/>
        <v>1546595.8806808793</v>
      </c>
      <c r="J177" s="678"/>
      <c r="K177" s="678">
        <f t="shared" si="35"/>
        <v>184.32033098525545</v>
      </c>
      <c r="L177" s="678"/>
      <c r="M177" s="678">
        <f t="shared" si="32"/>
        <v>1546780.2010118647</v>
      </c>
      <c r="O177" s="682">
        <v>45572</v>
      </c>
      <c r="P177" s="678">
        <f t="shared" si="34"/>
        <v>10582.071692765663</v>
      </c>
      <c r="Q177" s="678"/>
      <c r="R177" s="678">
        <f t="shared" si="37"/>
        <v>1.2611510099597434</v>
      </c>
      <c r="S177" s="678"/>
      <c r="T177" s="680">
        <f t="shared" si="33"/>
        <v>10583.332843775623</v>
      </c>
    </row>
    <row r="178" spans="1:20">
      <c r="A178" s="681">
        <v>45573</v>
      </c>
      <c r="B178" s="678">
        <f t="shared" si="29"/>
        <v>544178.46895547467</v>
      </c>
      <c r="C178" s="678"/>
      <c r="D178" s="678">
        <f t="shared" si="36"/>
        <v>64.854146300173014</v>
      </c>
      <c r="E178" s="678"/>
      <c r="F178" s="678">
        <f t="shared" si="30"/>
        <v>544243.32310177479</v>
      </c>
      <c r="H178" s="681">
        <v>45573</v>
      </c>
      <c r="I178" s="678">
        <f t="shared" si="31"/>
        <v>1546780.2010118647</v>
      </c>
      <c r="J178" s="678"/>
      <c r="K178" s="678">
        <f t="shared" si="35"/>
        <v>184.34229792881126</v>
      </c>
      <c r="L178" s="678"/>
      <c r="M178" s="678">
        <f t="shared" si="32"/>
        <v>1546964.5433097936</v>
      </c>
      <c r="O178" s="681">
        <v>45573</v>
      </c>
      <c r="P178" s="678">
        <f t="shared" si="34"/>
        <v>10583.332843775623</v>
      </c>
      <c r="Q178" s="678"/>
      <c r="R178" s="678">
        <f t="shared" si="37"/>
        <v>1.2613013115184646</v>
      </c>
      <c r="S178" s="678"/>
      <c r="T178" s="680">
        <f t="shared" si="33"/>
        <v>10584.594145087141</v>
      </c>
    </row>
    <row r="179" spans="1:20">
      <c r="A179" s="681">
        <v>45574</v>
      </c>
      <c r="B179" s="678">
        <f t="shared" si="29"/>
        <v>544243.32310177479</v>
      </c>
      <c r="C179" s="678"/>
      <c r="D179" s="678">
        <f t="shared" si="36"/>
        <v>64.861875492951242</v>
      </c>
      <c r="E179" s="678"/>
      <c r="F179" s="678">
        <f t="shared" si="30"/>
        <v>544308.18497726775</v>
      </c>
      <c r="H179" s="681">
        <v>45574</v>
      </c>
      <c r="I179" s="678">
        <f t="shared" si="31"/>
        <v>1546964.5433097936</v>
      </c>
      <c r="J179" s="678"/>
      <c r="K179" s="678">
        <f t="shared" si="35"/>
        <v>184.36426749034524</v>
      </c>
      <c r="L179" s="678"/>
      <c r="M179" s="678">
        <f t="shared" si="32"/>
        <v>1547148.9075772839</v>
      </c>
      <c r="O179" s="681">
        <v>45574</v>
      </c>
      <c r="P179" s="678">
        <f t="shared" si="34"/>
        <v>10584.594145087141</v>
      </c>
      <c r="Q179" s="678"/>
      <c r="R179" s="678">
        <f t="shared" si="37"/>
        <v>1.2614516309898374</v>
      </c>
      <c r="S179" s="678"/>
      <c r="T179" s="680">
        <f t="shared" si="33"/>
        <v>10585.855596718131</v>
      </c>
    </row>
    <row r="180" spans="1:20">
      <c r="A180" s="682">
        <v>45575</v>
      </c>
      <c r="B180" s="678">
        <f t="shared" si="29"/>
        <v>544308.18497726775</v>
      </c>
      <c r="C180" s="678"/>
      <c r="D180" s="678">
        <f t="shared" si="36"/>
        <v>64.869605606879858</v>
      </c>
      <c r="E180" s="678"/>
      <c r="F180" s="678">
        <f t="shared" si="30"/>
        <v>544373.05458287464</v>
      </c>
      <c r="H180" s="682">
        <v>45575</v>
      </c>
      <c r="I180" s="678">
        <f t="shared" si="31"/>
        <v>1547148.9075772839</v>
      </c>
      <c r="J180" s="678"/>
      <c r="K180" s="678">
        <f t="shared" si="35"/>
        <v>184.38623967016943</v>
      </c>
      <c r="L180" s="678"/>
      <c r="M180" s="678">
        <f t="shared" si="32"/>
        <v>1547333.2938169541</v>
      </c>
      <c r="O180" s="682">
        <v>45575</v>
      </c>
      <c r="P180" s="678">
        <f t="shared" si="34"/>
        <v>10585.855596718131</v>
      </c>
      <c r="Q180" s="678"/>
      <c r="R180" s="678">
        <f t="shared" si="37"/>
        <v>1.2616019683759963</v>
      </c>
      <c r="S180" s="678"/>
      <c r="T180" s="680">
        <f t="shared" si="33"/>
        <v>10587.117198686507</v>
      </c>
    </row>
    <row r="181" spans="1:20">
      <c r="A181" s="681">
        <v>45576</v>
      </c>
      <c r="B181" s="678">
        <f t="shared" si="29"/>
        <v>544373.05458287464</v>
      </c>
      <c r="C181" s="678"/>
      <c r="D181" s="678">
        <f t="shared" si="36"/>
        <v>64.877336642068613</v>
      </c>
      <c r="E181" s="678"/>
      <c r="F181" s="678">
        <f t="shared" si="30"/>
        <v>544437.93191951676</v>
      </c>
      <c r="H181" s="681">
        <v>45576</v>
      </c>
      <c r="I181" s="678">
        <f t="shared" si="31"/>
        <v>1547333.2938169541</v>
      </c>
      <c r="J181" s="678"/>
      <c r="K181" s="678">
        <f t="shared" si="35"/>
        <v>184.40821446859587</v>
      </c>
      <c r="L181" s="678"/>
      <c r="M181" s="678">
        <f t="shared" si="32"/>
        <v>1547517.7020314226</v>
      </c>
      <c r="O181" s="681">
        <v>45576</v>
      </c>
      <c r="P181" s="678">
        <f t="shared" si="34"/>
        <v>10587.117198686507</v>
      </c>
      <c r="Q181" s="678"/>
      <c r="R181" s="678">
        <f t="shared" si="37"/>
        <v>1.2617523236790766</v>
      </c>
      <c r="S181" s="678"/>
      <c r="T181" s="680">
        <f t="shared" si="33"/>
        <v>10588.378951010185</v>
      </c>
    </row>
    <row r="182" spans="1:20">
      <c r="A182" s="681">
        <v>45577</v>
      </c>
      <c r="B182" s="678">
        <f t="shared" si="29"/>
        <v>544437.93191951676</v>
      </c>
      <c r="C182" s="678"/>
      <c r="D182" s="678">
        <f t="shared" si="36"/>
        <v>64.885068598627342</v>
      </c>
      <c r="E182" s="678"/>
      <c r="F182" s="678">
        <f t="shared" si="30"/>
        <v>544502.81698811543</v>
      </c>
      <c r="H182" s="681">
        <v>45577</v>
      </c>
      <c r="I182" s="678">
        <f t="shared" si="31"/>
        <v>1547517.7020314226</v>
      </c>
      <c r="J182" s="678"/>
      <c r="K182" s="678">
        <f t="shared" si="35"/>
        <v>184.43019188593667</v>
      </c>
      <c r="L182" s="678"/>
      <c r="M182" s="678">
        <f t="shared" si="32"/>
        <v>1547702.1322233086</v>
      </c>
      <c r="O182" s="681">
        <v>45577</v>
      </c>
      <c r="P182" s="678">
        <f t="shared" si="34"/>
        <v>10588.378951010185</v>
      </c>
      <c r="Q182" s="678"/>
      <c r="R182" s="678">
        <f t="shared" si="37"/>
        <v>1.2619026969012137</v>
      </c>
      <c r="S182" s="678"/>
      <c r="T182" s="680">
        <f t="shared" si="33"/>
        <v>10589.640853707086</v>
      </c>
    </row>
    <row r="183" spans="1:20">
      <c r="A183" s="682">
        <v>45578</v>
      </c>
      <c r="B183" s="678">
        <f t="shared" si="29"/>
        <v>544502.81698811543</v>
      </c>
      <c r="C183" s="678"/>
      <c r="D183" s="678">
        <f t="shared" si="36"/>
        <v>64.892801476665809</v>
      </c>
      <c r="E183" s="678"/>
      <c r="F183" s="678">
        <f t="shared" si="30"/>
        <v>544567.70978959207</v>
      </c>
      <c r="H183" s="682">
        <v>45578</v>
      </c>
      <c r="I183" s="678">
        <f t="shared" si="31"/>
        <v>1547702.1322233086</v>
      </c>
      <c r="J183" s="678"/>
      <c r="K183" s="678">
        <f t="shared" si="35"/>
        <v>184.45217192250388</v>
      </c>
      <c r="L183" s="678"/>
      <c r="M183" s="678">
        <f t="shared" si="32"/>
        <v>1547886.584395231</v>
      </c>
      <c r="O183" s="682">
        <v>45578</v>
      </c>
      <c r="P183" s="678">
        <f t="shared" si="34"/>
        <v>10589.640853707086</v>
      </c>
      <c r="Q183" s="678"/>
      <c r="R183" s="678">
        <f t="shared" si="37"/>
        <v>1.2620530880445429</v>
      </c>
      <c r="S183" s="678"/>
      <c r="T183" s="680">
        <f t="shared" si="33"/>
        <v>10590.902906795131</v>
      </c>
    </row>
    <row r="184" spans="1:20">
      <c r="A184" s="681">
        <v>45579</v>
      </c>
      <c r="B184" s="678">
        <f t="shared" si="29"/>
        <v>544567.70978959207</v>
      </c>
      <c r="C184" s="678"/>
      <c r="D184" s="678">
        <f t="shared" si="36"/>
        <v>64.900535276293837</v>
      </c>
      <c r="E184" s="678"/>
      <c r="F184" s="678">
        <f t="shared" si="30"/>
        <v>544632.61032486835</v>
      </c>
      <c r="H184" s="681">
        <v>45579</v>
      </c>
      <c r="I184" s="678">
        <f t="shared" si="31"/>
        <v>1547886.584395231</v>
      </c>
      <c r="J184" s="678"/>
      <c r="K184" s="678">
        <f t="shared" si="35"/>
        <v>184.47415457860973</v>
      </c>
      <c r="L184" s="678"/>
      <c r="M184" s="678">
        <f t="shared" si="32"/>
        <v>1548071.0585498095</v>
      </c>
      <c r="O184" s="681">
        <v>45579</v>
      </c>
      <c r="P184" s="678">
        <f t="shared" si="34"/>
        <v>10590.902906795131</v>
      </c>
      <c r="Q184" s="678"/>
      <c r="R184" s="678">
        <f t="shared" si="37"/>
        <v>1.2622034971112004</v>
      </c>
      <c r="S184" s="678"/>
      <c r="T184" s="680">
        <f t="shared" si="33"/>
        <v>10592.165110292242</v>
      </c>
    </row>
    <row r="185" spans="1:20">
      <c r="A185" s="681">
        <v>45580</v>
      </c>
      <c r="B185" s="678">
        <f t="shared" si="29"/>
        <v>544632.61032486835</v>
      </c>
      <c r="C185" s="678">
        <f>SUM($D$451+$D$452+$D$453)/12</f>
        <v>73029.166666666672</v>
      </c>
      <c r="D185" s="678">
        <f t="shared" si="36"/>
        <v>64.908269997621289</v>
      </c>
      <c r="E185" s="678"/>
      <c r="F185" s="678">
        <f t="shared" si="30"/>
        <v>617726.68526153255</v>
      </c>
      <c r="H185" s="681">
        <v>45580</v>
      </c>
      <c r="I185" s="678">
        <f t="shared" si="31"/>
        <v>1548071.0585498095</v>
      </c>
      <c r="J185" s="678"/>
      <c r="K185" s="678">
        <f t="shared" si="35"/>
        <v>184.49613985456634</v>
      </c>
      <c r="L185" s="678"/>
      <c r="M185" s="678">
        <f t="shared" si="32"/>
        <v>1548255.5546896642</v>
      </c>
      <c r="O185" s="681">
        <v>45580</v>
      </c>
      <c r="P185" s="678">
        <f t="shared" si="34"/>
        <v>10592.165110292242</v>
      </c>
      <c r="Q185" s="678"/>
      <c r="R185" s="678">
        <f t="shared" si="37"/>
        <v>1.2623539241033219</v>
      </c>
      <c r="S185" s="678"/>
      <c r="T185" s="680">
        <f t="shared" si="33"/>
        <v>10593.427464216345</v>
      </c>
    </row>
    <row r="186" spans="1:20">
      <c r="A186" s="682">
        <v>45581</v>
      </c>
      <c r="B186" s="678">
        <f t="shared" si="29"/>
        <v>617726.68526153255</v>
      </c>
      <c r="C186" s="678"/>
      <c r="D186" s="678">
        <f t="shared" si="36"/>
        <v>73.619481668155245</v>
      </c>
      <c r="E186" s="678"/>
      <c r="F186" s="678">
        <f t="shared" si="30"/>
        <v>617800.30474320066</v>
      </c>
      <c r="H186" s="682">
        <v>45581</v>
      </c>
      <c r="I186" s="678">
        <f t="shared" si="31"/>
        <v>1548255.5546896642</v>
      </c>
      <c r="J186" s="678"/>
      <c r="K186" s="678">
        <f t="shared" si="35"/>
        <v>184.51812775068601</v>
      </c>
      <c r="L186" s="678"/>
      <c r="M186" s="678">
        <f t="shared" si="32"/>
        <v>1548440.0728174148</v>
      </c>
      <c r="O186" s="682">
        <v>45581</v>
      </c>
      <c r="P186" s="678">
        <f t="shared" si="34"/>
        <v>10593.427464216345</v>
      </c>
      <c r="Q186" s="678"/>
      <c r="R186" s="678">
        <f t="shared" si="37"/>
        <v>1.2625043690230437</v>
      </c>
      <c r="S186" s="678"/>
      <c r="T186" s="680">
        <f t="shared" si="33"/>
        <v>10594.689968585368</v>
      </c>
    </row>
    <row r="187" spans="1:20">
      <c r="A187" s="681">
        <v>45582</v>
      </c>
      <c r="B187" s="678">
        <f t="shared" si="29"/>
        <v>617800.30474320066</v>
      </c>
      <c r="C187" s="678"/>
      <c r="D187" s="678">
        <f t="shared" si="36"/>
        <v>73.628255496792406</v>
      </c>
      <c r="E187" s="678"/>
      <c r="F187" s="678">
        <f t="shared" si="30"/>
        <v>617873.93299869751</v>
      </c>
      <c r="H187" s="681">
        <v>45582</v>
      </c>
      <c r="I187" s="678">
        <f t="shared" si="31"/>
        <v>1548440.0728174148</v>
      </c>
      <c r="J187" s="678"/>
      <c r="K187" s="678">
        <f t="shared" si="35"/>
        <v>184.54011826728095</v>
      </c>
      <c r="L187" s="678"/>
      <c r="M187" s="678">
        <f t="shared" si="32"/>
        <v>1548624.6129356821</v>
      </c>
      <c r="O187" s="681">
        <v>45582</v>
      </c>
      <c r="P187" s="678">
        <f t="shared" si="34"/>
        <v>10594.689968585368</v>
      </c>
      <c r="Q187" s="678"/>
      <c r="R187" s="678">
        <f t="shared" si="37"/>
        <v>1.2626548318725026</v>
      </c>
      <c r="S187" s="678"/>
      <c r="T187" s="680">
        <f t="shared" si="33"/>
        <v>10595.952623417241</v>
      </c>
    </row>
    <row r="188" spans="1:20">
      <c r="A188" s="681">
        <v>45583</v>
      </c>
      <c r="B188" s="678">
        <f t="shared" si="29"/>
        <v>617873.93299869751</v>
      </c>
      <c r="C188" s="678"/>
      <c r="D188" s="678">
        <f t="shared" si="36"/>
        <v>73.637030371077643</v>
      </c>
      <c r="E188" s="678"/>
      <c r="F188" s="678">
        <f t="shared" si="30"/>
        <v>617947.57002906862</v>
      </c>
      <c r="H188" s="681">
        <v>45583</v>
      </c>
      <c r="I188" s="678">
        <f t="shared" si="31"/>
        <v>1548624.6129356821</v>
      </c>
      <c r="J188" s="678"/>
      <c r="K188" s="678">
        <f t="shared" si="35"/>
        <v>184.56211140466345</v>
      </c>
      <c r="L188" s="678"/>
      <c r="M188" s="678">
        <f t="shared" si="32"/>
        <v>1548809.1750470868</v>
      </c>
      <c r="O188" s="681">
        <v>45583</v>
      </c>
      <c r="P188" s="678">
        <f t="shared" si="34"/>
        <v>10595.952623417241</v>
      </c>
      <c r="Q188" s="678"/>
      <c r="R188" s="678">
        <f t="shared" si="37"/>
        <v>1.2628053126538354</v>
      </c>
      <c r="S188" s="678"/>
      <c r="T188" s="680">
        <f t="shared" si="33"/>
        <v>10597.215428729894</v>
      </c>
    </row>
    <row r="189" spans="1:20">
      <c r="A189" s="682">
        <v>45584</v>
      </c>
      <c r="B189" s="678">
        <f t="shared" si="29"/>
        <v>617947.57002906862</v>
      </c>
      <c r="C189" s="678"/>
      <c r="D189" s="678">
        <f t="shared" si="36"/>
        <v>73.645806291135571</v>
      </c>
      <c r="E189" s="678"/>
      <c r="F189" s="678">
        <f t="shared" si="30"/>
        <v>618021.21583535976</v>
      </c>
      <c r="H189" s="682">
        <v>45584</v>
      </c>
      <c r="I189" s="678">
        <f t="shared" si="31"/>
        <v>1548809.1750470868</v>
      </c>
      <c r="J189" s="678"/>
      <c r="K189" s="678">
        <f t="shared" si="35"/>
        <v>184.58410716314597</v>
      </c>
      <c r="L189" s="678"/>
      <c r="M189" s="678">
        <f t="shared" si="32"/>
        <v>1548993.7591542499</v>
      </c>
      <c r="O189" s="682">
        <v>45584</v>
      </c>
      <c r="P189" s="678">
        <f t="shared" si="34"/>
        <v>10597.215428729894</v>
      </c>
      <c r="Q189" s="678"/>
      <c r="R189" s="678">
        <f t="shared" si="37"/>
        <v>1.262955811369179</v>
      </c>
      <c r="S189" s="678"/>
      <c r="T189" s="680">
        <f t="shared" si="33"/>
        <v>10598.478384541264</v>
      </c>
    </row>
    <row r="190" spans="1:20">
      <c r="A190" s="681">
        <v>45585</v>
      </c>
      <c r="B190" s="678">
        <f t="shared" si="29"/>
        <v>618021.21583535976</v>
      </c>
      <c r="C190" s="678"/>
      <c r="D190" s="678">
        <f t="shared" si="36"/>
        <v>73.65458325709082</v>
      </c>
      <c r="E190" s="678"/>
      <c r="F190" s="678">
        <f t="shared" si="30"/>
        <v>618094.8704186168</v>
      </c>
      <c r="H190" s="681">
        <v>45585</v>
      </c>
      <c r="I190" s="678">
        <f t="shared" si="31"/>
        <v>1548993.7591542499</v>
      </c>
      <c r="J190" s="678"/>
      <c r="K190" s="678">
        <f t="shared" si="35"/>
        <v>184.60610554304074</v>
      </c>
      <c r="L190" s="678"/>
      <c r="M190" s="678">
        <f t="shared" si="32"/>
        <v>1549178.3652597929</v>
      </c>
      <c r="O190" s="681">
        <v>45585</v>
      </c>
      <c r="P190" s="678">
        <f t="shared" si="34"/>
        <v>10598.478384541264</v>
      </c>
      <c r="Q190" s="678"/>
      <c r="R190" s="678">
        <f t="shared" si="37"/>
        <v>1.2631063280206711</v>
      </c>
      <c r="S190" s="678"/>
      <c r="T190" s="680">
        <f t="shared" si="33"/>
        <v>10599.741490869284</v>
      </c>
    </row>
    <row r="191" spans="1:20">
      <c r="A191" s="681">
        <v>45586</v>
      </c>
      <c r="B191" s="678">
        <f t="shared" si="29"/>
        <v>618094.8704186168</v>
      </c>
      <c r="C191" s="678"/>
      <c r="D191" s="678">
        <f t="shared" si="36"/>
        <v>73.66336126906802</v>
      </c>
      <c r="E191" s="678"/>
      <c r="F191" s="678">
        <f t="shared" si="30"/>
        <v>618168.53377988585</v>
      </c>
      <c r="H191" s="681">
        <v>45586</v>
      </c>
      <c r="I191" s="678">
        <f t="shared" si="31"/>
        <v>1549178.3652597929</v>
      </c>
      <c r="J191" s="678"/>
      <c r="K191" s="678">
        <f t="shared" si="35"/>
        <v>184.62810654466026</v>
      </c>
      <c r="L191" s="678"/>
      <c r="M191" s="678">
        <f t="shared" si="32"/>
        <v>1549362.9933663376</v>
      </c>
      <c r="O191" s="681">
        <v>45586</v>
      </c>
      <c r="P191" s="678">
        <f t="shared" si="34"/>
        <v>10599.741490869284</v>
      </c>
      <c r="Q191" s="678"/>
      <c r="R191" s="678">
        <f t="shared" si="37"/>
        <v>1.263256862610449</v>
      </c>
      <c r="S191" s="678"/>
      <c r="T191" s="680">
        <f t="shared" si="33"/>
        <v>10601.004747731895</v>
      </c>
    </row>
    <row r="192" spans="1:20">
      <c r="A192" s="682">
        <v>45587</v>
      </c>
      <c r="B192" s="678">
        <f t="shared" si="29"/>
        <v>618168.53377988585</v>
      </c>
      <c r="C192" s="678"/>
      <c r="D192" s="678">
        <f t="shared" si="36"/>
        <v>73.672140327191869</v>
      </c>
      <c r="E192" s="678"/>
      <c r="F192" s="678">
        <f t="shared" si="30"/>
        <v>618242.20592021302</v>
      </c>
      <c r="H192" s="682">
        <v>45587</v>
      </c>
      <c r="I192" s="678">
        <f t="shared" si="31"/>
        <v>1549362.9933663376</v>
      </c>
      <c r="J192" s="678"/>
      <c r="K192" s="678">
        <f t="shared" si="35"/>
        <v>184.65011016831693</v>
      </c>
      <c r="L192" s="678"/>
      <c r="M192" s="678">
        <f t="shared" si="32"/>
        <v>1549547.643476506</v>
      </c>
      <c r="O192" s="682">
        <v>45587</v>
      </c>
      <c r="P192" s="678">
        <f t="shared" si="34"/>
        <v>10601.004747731895</v>
      </c>
      <c r="Q192" s="678"/>
      <c r="R192" s="678">
        <f t="shared" si="37"/>
        <v>1.2634074151406505</v>
      </c>
      <c r="S192" s="678"/>
      <c r="T192" s="680">
        <f t="shared" si="33"/>
        <v>10602.268155147036</v>
      </c>
    </row>
    <row r="193" spans="1:20">
      <c r="A193" s="681">
        <v>45588</v>
      </c>
      <c r="B193" s="678">
        <f t="shared" si="29"/>
        <v>618242.20592021302</v>
      </c>
      <c r="C193" s="678"/>
      <c r="D193" s="678">
        <f t="shared" si="36"/>
        <v>73.680920431587026</v>
      </c>
      <c r="E193" s="678"/>
      <c r="F193" s="678">
        <f t="shared" si="30"/>
        <v>618315.88684064464</v>
      </c>
      <c r="H193" s="681">
        <v>45588</v>
      </c>
      <c r="I193" s="678">
        <f t="shared" si="31"/>
        <v>1549547.643476506</v>
      </c>
      <c r="J193" s="678"/>
      <c r="K193" s="678">
        <f t="shared" si="35"/>
        <v>184.67211641432331</v>
      </c>
      <c r="L193" s="678"/>
      <c r="M193" s="678">
        <f t="shared" si="32"/>
        <v>1549732.3155929204</v>
      </c>
      <c r="O193" s="681">
        <v>45588</v>
      </c>
      <c r="P193" s="678">
        <f t="shared" si="34"/>
        <v>10602.268155147036</v>
      </c>
      <c r="Q193" s="678"/>
      <c r="R193" s="678">
        <f t="shared" si="37"/>
        <v>1.2635579856134138</v>
      </c>
      <c r="S193" s="678"/>
      <c r="T193" s="680">
        <f t="shared" si="33"/>
        <v>10603.53171313265</v>
      </c>
    </row>
    <row r="194" spans="1:20">
      <c r="A194" s="681">
        <v>45589</v>
      </c>
      <c r="B194" s="678">
        <f t="shared" si="29"/>
        <v>618315.88684064464</v>
      </c>
      <c r="C194" s="678"/>
      <c r="D194" s="678">
        <f t="shared" si="36"/>
        <v>73.689701582378191</v>
      </c>
      <c r="E194" s="678"/>
      <c r="F194" s="678">
        <f t="shared" si="30"/>
        <v>618389.57654222706</v>
      </c>
      <c r="H194" s="681">
        <v>45589</v>
      </c>
      <c r="I194" s="678">
        <f t="shared" si="31"/>
        <v>1549732.3155929204</v>
      </c>
      <c r="J194" s="678"/>
      <c r="K194" s="678">
        <f t="shared" si="35"/>
        <v>184.69412528299188</v>
      </c>
      <c r="L194" s="678"/>
      <c r="M194" s="678">
        <f t="shared" si="32"/>
        <v>1549917.0097182035</v>
      </c>
      <c r="O194" s="681">
        <v>45589</v>
      </c>
      <c r="P194" s="678">
        <f t="shared" si="34"/>
        <v>10603.53171313265</v>
      </c>
      <c r="Q194" s="678"/>
      <c r="R194" s="678">
        <f t="shared" si="37"/>
        <v>1.2637085740308773</v>
      </c>
      <c r="S194" s="678"/>
      <c r="T194" s="680">
        <f t="shared" si="33"/>
        <v>10604.795421706682</v>
      </c>
    </row>
    <row r="195" spans="1:20">
      <c r="A195" s="682">
        <v>45590</v>
      </c>
      <c r="B195" s="678">
        <f t="shared" si="29"/>
        <v>618389.57654222706</v>
      </c>
      <c r="C195" s="678"/>
      <c r="D195" s="678">
        <f t="shared" si="36"/>
        <v>73.698483779690065</v>
      </c>
      <c r="E195" s="678"/>
      <c r="F195" s="678">
        <f t="shared" si="30"/>
        <v>618463.27502600674</v>
      </c>
      <c r="H195" s="682">
        <v>45590</v>
      </c>
      <c r="I195" s="678">
        <f t="shared" si="31"/>
        <v>1549917.0097182035</v>
      </c>
      <c r="J195" s="678"/>
      <c r="K195" s="678">
        <f t="shared" si="35"/>
        <v>184.7161367746352</v>
      </c>
      <c r="L195" s="678"/>
      <c r="M195" s="678">
        <f t="shared" si="32"/>
        <v>1550101.7258549782</v>
      </c>
      <c r="O195" s="682">
        <v>45590</v>
      </c>
      <c r="P195" s="678">
        <f t="shared" si="34"/>
        <v>10604.795421706682</v>
      </c>
      <c r="Q195" s="678"/>
      <c r="R195" s="678">
        <f t="shared" si="37"/>
        <v>1.2638591803951797</v>
      </c>
      <c r="S195" s="678"/>
      <c r="T195" s="680">
        <f t="shared" si="33"/>
        <v>10606.059280887077</v>
      </c>
    </row>
    <row r="196" spans="1:20">
      <c r="A196" s="681">
        <v>45591</v>
      </c>
      <c r="B196" s="678">
        <f t="shared" si="29"/>
        <v>618463.27502600674</v>
      </c>
      <c r="C196" s="678"/>
      <c r="D196" s="678">
        <f t="shared" si="36"/>
        <v>73.707267023647375</v>
      </c>
      <c r="E196" s="678"/>
      <c r="F196" s="678">
        <f t="shared" si="30"/>
        <v>618536.98229303036</v>
      </c>
      <c r="H196" s="681">
        <v>45591</v>
      </c>
      <c r="I196" s="678">
        <f t="shared" si="31"/>
        <v>1550101.7258549782</v>
      </c>
      <c r="J196" s="678"/>
      <c r="K196" s="678">
        <f t="shared" si="35"/>
        <v>184.7381508895659</v>
      </c>
      <c r="L196" s="678"/>
      <c r="M196" s="678">
        <f t="shared" si="32"/>
        <v>1550286.4640058677</v>
      </c>
      <c r="O196" s="681">
        <v>45591</v>
      </c>
      <c r="P196" s="678">
        <f t="shared" si="34"/>
        <v>10606.059280887077</v>
      </c>
      <c r="Q196" s="678"/>
      <c r="R196" s="678">
        <f t="shared" si="37"/>
        <v>1.2640098047084598</v>
      </c>
      <c r="S196" s="678"/>
      <c r="T196" s="680">
        <f t="shared" si="33"/>
        <v>10607.323290691786</v>
      </c>
    </row>
    <row r="197" spans="1:20">
      <c r="A197" s="681">
        <v>45592</v>
      </c>
      <c r="B197" s="678">
        <f t="shared" si="29"/>
        <v>618536.98229303036</v>
      </c>
      <c r="C197" s="678"/>
      <c r="D197" s="678">
        <f t="shared" si="36"/>
        <v>73.716051314374852</v>
      </c>
      <c r="E197" s="678"/>
      <c r="F197" s="678">
        <f t="shared" si="30"/>
        <v>618610.69834434474</v>
      </c>
      <c r="H197" s="681">
        <v>45592</v>
      </c>
      <c r="I197" s="678">
        <f t="shared" si="31"/>
        <v>1550286.4640058677</v>
      </c>
      <c r="J197" s="678"/>
      <c r="K197" s="678">
        <f t="shared" si="35"/>
        <v>184.76016762809655</v>
      </c>
      <c r="L197" s="678"/>
      <c r="M197" s="678">
        <f t="shared" si="32"/>
        <v>1550471.2241734958</v>
      </c>
      <c r="O197" s="681">
        <v>45592</v>
      </c>
      <c r="P197" s="678">
        <f t="shared" si="34"/>
        <v>10607.323290691786</v>
      </c>
      <c r="Q197" s="678"/>
      <c r="R197" s="678">
        <f t="shared" si="37"/>
        <v>1.2641604469728567</v>
      </c>
      <c r="S197" s="678"/>
      <c r="T197" s="680">
        <f t="shared" si="33"/>
        <v>10608.587451138759</v>
      </c>
    </row>
    <row r="198" spans="1:20">
      <c r="A198" s="682">
        <v>45593</v>
      </c>
      <c r="B198" s="678">
        <f t="shared" si="29"/>
        <v>618610.69834434474</v>
      </c>
      <c r="C198" s="678"/>
      <c r="D198" s="678">
        <f t="shared" si="36"/>
        <v>73.724836651997236</v>
      </c>
      <c r="E198" s="678"/>
      <c r="F198" s="678">
        <f t="shared" si="30"/>
        <v>618684.42318099679</v>
      </c>
      <c r="H198" s="682">
        <v>45593</v>
      </c>
      <c r="I198" s="678">
        <f t="shared" si="31"/>
        <v>1550471.2241734958</v>
      </c>
      <c r="J198" s="678"/>
      <c r="K198" s="678">
        <f t="shared" si="35"/>
        <v>184.78218699053988</v>
      </c>
      <c r="L198" s="678"/>
      <c r="M198" s="678">
        <f t="shared" si="32"/>
        <v>1550656.0063604864</v>
      </c>
      <c r="O198" s="682">
        <v>45593</v>
      </c>
      <c r="P198" s="678">
        <f t="shared" si="34"/>
        <v>10608.587451138759</v>
      </c>
      <c r="Q198" s="678"/>
      <c r="R198" s="678">
        <f t="shared" si="37"/>
        <v>1.2643111071905095</v>
      </c>
      <c r="S198" s="678"/>
      <c r="T198" s="680">
        <f t="shared" si="33"/>
        <v>10609.851762245949</v>
      </c>
    </row>
    <row r="199" spans="1:20">
      <c r="A199" s="681">
        <v>45594</v>
      </c>
      <c r="B199" s="678">
        <f t="shared" si="29"/>
        <v>618684.42318099679</v>
      </c>
      <c r="C199" s="678"/>
      <c r="D199" s="678">
        <f t="shared" si="36"/>
        <v>73.733623036639344</v>
      </c>
      <c r="E199" s="678"/>
      <c r="F199" s="678">
        <f t="shared" si="30"/>
        <v>618758.15680403344</v>
      </c>
      <c r="H199" s="681">
        <v>45594</v>
      </c>
      <c r="I199" s="678">
        <f t="shared" si="31"/>
        <v>1550656.0063604864</v>
      </c>
      <c r="J199" s="678"/>
      <c r="K199" s="678">
        <f t="shared" si="35"/>
        <v>184.80420897720865</v>
      </c>
      <c r="L199" s="678"/>
      <c r="M199" s="678">
        <f t="shared" si="32"/>
        <v>1550840.8105694635</v>
      </c>
      <c r="O199" s="681">
        <v>45594</v>
      </c>
      <c r="P199" s="678">
        <f t="shared" si="34"/>
        <v>10609.851762245949</v>
      </c>
      <c r="Q199" s="678"/>
      <c r="R199" s="678">
        <f t="shared" si="37"/>
        <v>1.2644617853635582</v>
      </c>
      <c r="S199" s="678"/>
      <c r="T199" s="680">
        <f t="shared" si="33"/>
        <v>10611.116224031313</v>
      </c>
    </row>
    <row r="200" spans="1:20">
      <c r="A200" s="681">
        <v>45595</v>
      </c>
      <c r="B200" s="678">
        <f t="shared" si="29"/>
        <v>618758.15680403344</v>
      </c>
      <c r="C200" s="678"/>
      <c r="D200" s="678">
        <f t="shared" si="36"/>
        <v>73.742410468425902</v>
      </c>
      <c r="E200" s="678"/>
      <c r="F200" s="678">
        <f t="shared" si="30"/>
        <v>618831.89921450184</v>
      </c>
      <c r="H200" s="681">
        <v>45595</v>
      </c>
      <c r="I200" s="678">
        <f t="shared" si="31"/>
        <v>1550840.8105694635</v>
      </c>
      <c r="J200" s="678"/>
      <c r="K200" s="678">
        <f t="shared" si="35"/>
        <v>184.8262335884155</v>
      </c>
      <c r="L200" s="678"/>
      <c r="M200" s="678">
        <f t="shared" si="32"/>
        <v>1551025.6368030519</v>
      </c>
      <c r="O200" s="681">
        <v>45595</v>
      </c>
      <c r="P200" s="678">
        <f t="shared" si="34"/>
        <v>10611.116224031313</v>
      </c>
      <c r="Q200" s="678"/>
      <c r="R200" s="678">
        <f t="shared" si="37"/>
        <v>1.2646124814941428</v>
      </c>
      <c r="S200" s="678"/>
      <c r="T200" s="680">
        <f t="shared" si="33"/>
        <v>10612.380836512808</v>
      </c>
    </row>
    <row r="201" spans="1:20">
      <c r="A201" s="682">
        <v>45596</v>
      </c>
      <c r="B201" s="678">
        <f t="shared" ref="B201:B264" si="38">+F200</f>
        <v>618831.89921450184</v>
      </c>
      <c r="C201" s="678"/>
      <c r="D201" s="678">
        <f t="shared" si="36"/>
        <v>73.751198947481726</v>
      </c>
      <c r="E201" s="678">
        <f>+E170</f>
        <v>81000.5</v>
      </c>
      <c r="F201" s="678">
        <f t="shared" ref="F201:F264" si="39">+B201+C201+D201-E201</f>
        <v>537905.15041344927</v>
      </c>
      <c r="H201" s="682">
        <v>45596</v>
      </c>
      <c r="I201" s="678">
        <f t="shared" ref="I201:I264" si="40">+M200</f>
        <v>1551025.6368030519</v>
      </c>
      <c r="J201" s="678"/>
      <c r="K201" s="678">
        <f t="shared" si="35"/>
        <v>184.84826082447327</v>
      </c>
      <c r="L201" s="678"/>
      <c r="M201" s="678">
        <f t="shared" ref="M201:M264" si="41">+I201+J201+K201-L201</f>
        <v>1551210.4850638765</v>
      </c>
      <c r="O201" s="682">
        <v>45596</v>
      </c>
      <c r="P201" s="678">
        <f t="shared" si="34"/>
        <v>10612.380836512808</v>
      </c>
      <c r="Q201" s="678"/>
      <c r="R201" s="678">
        <f t="shared" si="37"/>
        <v>1.2647631955844032</v>
      </c>
      <c r="S201" s="678"/>
      <c r="T201" s="680">
        <f t="shared" si="33"/>
        <v>10613.645599708392</v>
      </c>
    </row>
    <row r="202" spans="1:20">
      <c r="A202" s="681">
        <v>45597</v>
      </c>
      <c r="B202" s="678">
        <f t="shared" si="38"/>
        <v>537905.15041344927</v>
      </c>
      <c r="C202" s="678"/>
      <c r="D202" s="678">
        <f t="shared" si="36"/>
        <v>64.106504227356268</v>
      </c>
      <c r="E202" s="678"/>
      <c r="F202" s="678">
        <f t="shared" si="39"/>
        <v>537969.25691767666</v>
      </c>
      <c r="H202" s="681">
        <v>45597</v>
      </c>
      <c r="I202" s="678">
        <f t="shared" si="40"/>
        <v>1551210.4850638765</v>
      </c>
      <c r="J202" s="678"/>
      <c r="K202" s="678">
        <f t="shared" si="35"/>
        <v>184.87029068569484</v>
      </c>
      <c r="L202" s="678"/>
      <c r="M202" s="678">
        <f t="shared" si="41"/>
        <v>1551395.3553545622</v>
      </c>
      <c r="O202" s="681">
        <v>45597</v>
      </c>
      <c r="P202" s="678">
        <f t="shared" si="34"/>
        <v>10613.645599708392</v>
      </c>
      <c r="Q202" s="678"/>
      <c r="R202" s="678">
        <f t="shared" si="37"/>
        <v>1.2649139276364794</v>
      </c>
      <c r="S202" s="678"/>
      <c r="T202" s="680">
        <f t="shared" si="33"/>
        <v>10614.910513636029</v>
      </c>
    </row>
    <row r="203" spans="1:20">
      <c r="A203" s="681">
        <v>45598</v>
      </c>
      <c r="B203" s="678">
        <f t="shared" si="38"/>
        <v>537969.25691767666</v>
      </c>
      <c r="C203" s="678"/>
      <c r="D203" s="678">
        <f t="shared" si="36"/>
        <v>64.11414431758611</v>
      </c>
      <c r="E203" s="678"/>
      <c r="F203" s="678">
        <f t="shared" si="39"/>
        <v>538033.37106199423</v>
      </c>
      <c r="H203" s="681">
        <v>45598</v>
      </c>
      <c r="I203" s="678">
        <f t="shared" si="40"/>
        <v>1551395.3553545622</v>
      </c>
      <c r="J203" s="678"/>
      <c r="K203" s="678">
        <f t="shared" si="35"/>
        <v>184.89232317239299</v>
      </c>
      <c r="L203" s="678"/>
      <c r="M203" s="678">
        <f t="shared" si="41"/>
        <v>1551580.2476777346</v>
      </c>
      <c r="O203" s="681">
        <v>45598</v>
      </c>
      <c r="P203" s="678">
        <f t="shared" si="34"/>
        <v>10614.910513636029</v>
      </c>
      <c r="Q203" s="678"/>
      <c r="R203" s="678">
        <f t="shared" si="37"/>
        <v>1.265064677652513</v>
      </c>
      <c r="S203" s="678"/>
      <c r="T203" s="680">
        <f t="shared" si="33"/>
        <v>10616.175578313681</v>
      </c>
    </row>
    <row r="204" spans="1:20">
      <c r="A204" s="682">
        <v>45599</v>
      </c>
      <c r="B204" s="678">
        <f t="shared" si="38"/>
        <v>538033.37106199423</v>
      </c>
      <c r="C204" s="678"/>
      <c r="D204" s="678">
        <f t="shared" si="36"/>
        <v>64.121785318347264</v>
      </c>
      <c r="E204" s="678"/>
      <c r="F204" s="678">
        <f t="shared" si="39"/>
        <v>538097.49284731259</v>
      </c>
      <c r="H204" s="682">
        <v>45599</v>
      </c>
      <c r="I204" s="678">
        <f t="shared" si="40"/>
        <v>1551580.2476777346</v>
      </c>
      <c r="J204" s="678"/>
      <c r="K204" s="678">
        <f t="shared" si="35"/>
        <v>184.91435828488068</v>
      </c>
      <c r="L204" s="678"/>
      <c r="M204" s="678">
        <f t="shared" si="41"/>
        <v>1551765.1620360194</v>
      </c>
      <c r="O204" s="682">
        <v>45599</v>
      </c>
      <c r="P204" s="678">
        <f t="shared" si="34"/>
        <v>10616.175578313681</v>
      </c>
      <c r="Q204" s="678"/>
      <c r="R204" s="678">
        <f t="shared" si="37"/>
        <v>1.2652154456346441</v>
      </c>
      <c r="S204" s="678"/>
      <c r="T204" s="680">
        <f t="shared" si="33"/>
        <v>10617.440793759317</v>
      </c>
    </row>
    <row r="205" spans="1:20">
      <c r="A205" s="681">
        <v>45600</v>
      </c>
      <c r="B205" s="678">
        <f t="shared" si="38"/>
        <v>538097.49284731259</v>
      </c>
      <c r="C205" s="678"/>
      <c r="D205" s="678">
        <f t="shared" si="36"/>
        <v>64.129427229748202</v>
      </c>
      <c r="E205" s="678"/>
      <c r="F205" s="678">
        <f t="shared" si="39"/>
        <v>538161.62227454234</v>
      </c>
      <c r="H205" s="681">
        <v>45600</v>
      </c>
      <c r="I205" s="678">
        <f t="shared" si="40"/>
        <v>1551765.1620360194</v>
      </c>
      <c r="J205" s="678"/>
      <c r="K205" s="678">
        <f t="shared" si="35"/>
        <v>184.93639602347079</v>
      </c>
      <c r="L205" s="678"/>
      <c r="M205" s="678">
        <f t="shared" si="41"/>
        <v>1551950.0984320429</v>
      </c>
      <c r="O205" s="681">
        <v>45600</v>
      </c>
      <c r="P205" s="678">
        <f t="shared" si="34"/>
        <v>10617.440793759317</v>
      </c>
      <c r="Q205" s="678"/>
      <c r="R205" s="678">
        <f t="shared" si="37"/>
        <v>1.2653662315850143</v>
      </c>
      <c r="S205" s="678"/>
      <c r="T205" s="680">
        <f t="shared" si="33"/>
        <v>10618.706159990901</v>
      </c>
    </row>
    <row r="206" spans="1:20">
      <c r="A206" s="681">
        <v>45601</v>
      </c>
      <c r="B206" s="678">
        <f t="shared" si="38"/>
        <v>538161.62227454234</v>
      </c>
      <c r="C206" s="678"/>
      <c r="D206" s="678">
        <f t="shared" si="36"/>
        <v>64.13707005189751</v>
      </c>
      <c r="E206" s="678"/>
      <c r="F206" s="678">
        <f t="shared" si="39"/>
        <v>538225.7593445942</v>
      </c>
      <c r="H206" s="681">
        <v>45601</v>
      </c>
      <c r="I206" s="678">
        <f t="shared" si="40"/>
        <v>1551950.0984320429</v>
      </c>
      <c r="J206" s="678"/>
      <c r="K206" s="678">
        <f t="shared" si="35"/>
        <v>184.95843638847634</v>
      </c>
      <c r="L206" s="678"/>
      <c r="M206" s="678">
        <f t="shared" si="41"/>
        <v>1552135.0568684314</v>
      </c>
      <c r="O206" s="681">
        <v>45601</v>
      </c>
      <c r="P206" s="678">
        <f t="shared" si="34"/>
        <v>10618.706159990901</v>
      </c>
      <c r="Q206" s="678"/>
      <c r="R206" s="678">
        <f t="shared" si="37"/>
        <v>1.265517035505765</v>
      </c>
      <c r="S206" s="678">
        <f>+P206/8</f>
        <v>1327.3382699988626</v>
      </c>
      <c r="T206" s="680">
        <f t="shared" ref="T206:T269" si="42">+P206+Q206+R206-S206</f>
        <v>9292.6334070275443</v>
      </c>
    </row>
    <row r="207" spans="1:20">
      <c r="A207" s="682">
        <v>45602</v>
      </c>
      <c r="B207" s="678">
        <f t="shared" si="38"/>
        <v>538225.7593445942</v>
      </c>
      <c r="C207" s="678"/>
      <c r="D207" s="678">
        <f t="shared" si="36"/>
        <v>64.144713784903686</v>
      </c>
      <c r="E207" s="678"/>
      <c r="F207" s="678">
        <f t="shared" si="39"/>
        <v>538289.90405837912</v>
      </c>
      <c r="H207" s="682">
        <v>45602</v>
      </c>
      <c r="I207" s="678">
        <f t="shared" si="40"/>
        <v>1552135.0568684314</v>
      </c>
      <c r="J207" s="678"/>
      <c r="K207" s="678">
        <f t="shared" si="35"/>
        <v>184.98047938021031</v>
      </c>
      <c r="L207" s="678"/>
      <c r="M207" s="678">
        <f t="shared" si="41"/>
        <v>1552320.0373478115</v>
      </c>
      <c r="O207" s="682">
        <v>45602</v>
      </c>
      <c r="P207" s="678">
        <f t="shared" ref="P207:P270" si="43">+T206</f>
        <v>9292.6334070275443</v>
      </c>
      <c r="Q207" s="678"/>
      <c r="R207" s="678">
        <f t="shared" si="37"/>
        <v>1.1074782279608169</v>
      </c>
      <c r="S207" s="678"/>
      <c r="T207" s="680">
        <f t="shared" si="42"/>
        <v>9293.7408852555054</v>
      </c>
    </row>
    <row r="208" spans="1:20">
      <c r="A208" s="681">
        <v>45603</v>
      </c>
      <c r="B208" s="678">
        <f t="shared" si="38"/>
        <v>538289.90405837912</v>
      </c>
      <c r="C208" s="678"/>
      <c r="D208" s="678">
        <f t="shared" si="36"/>
        <v>64.152358428875317</v>
      </c>
      <c r="E208" s="678"/>
      <c r="F208" s="678">
        <f t="shared" si="39"/>
        <v>538354.05641680805</v>
      </c>
      <c r="H208" s="681">
        <v>45603</v>
      </c>
      <c r="I208" s="678">
        <f t="shared" si="40"/>
        <v>1552320.0373478115</v>
      </c>
      <c r="J208" s="678"/>
      <c r="K208" s="678">
        <f t="shared" si="35"/>
        <v>185.00252499898576</v>
      </c>
      <c r="L208" s="678"/>
      <c r="M208" s="678">
        <f t="shared" si="41"/>
        <v>1552505.0398728105</v>
      </c>
      <c r="O208" s="681">
        <v>45603</v>
      </c>
      <c r="P208" s="678">
        <f t="shared" si="43"/>
        <v>9293.7408852555054</v>
      </c>
      <c r="Q208" s="678"/>
      <c r="R208" s="678">
        <f t="shared" si="37"/>
        <v>1.1076102150920943</v>
      </c>
      <c r="S208" s="678"/>
      <c r="T208" s="680">
        <f t="shared" si="42"/>
        <v>9294.8484954705982</v>
      </c>
    </row>
    <row r="209" spans="1:20">
      <c r="A209" s="681">
        <v>45604</v>
      </c>
      <c r="B209" s="678">
        <f t="shared" si="38"/>
        <v>538354.05641680805</v>
      </c>
      <c r="C209" s="678"/>
      <c r="D209" s="678">
        <f t="shared" si="36"/>
        <v>64.160003983920959</v>
      </c>
      <c r="E209" s="678"/>
      <c r="F209" s="678">
        <f t="shared" si="39"/>
        <v>538418.21642079193</v>
      </c>
      <c r="H209" s="681">
        <v>45604</v>
      </c>
      <c r="I209" s="678">
        <f t="shared" si="40"/>
        <v>1552505.0398728105</v>
      </c>
      <c r="J209" s="678"/>
      <c r="K209" s="678">
        <f t="shared" si="35"/>
        <v>185.02457324511576</v>
      </c>
      <c r="L209" s="678"/>
      <c r="M209" s="678">
        <f t="shared" si="41"/>
        <v>1552690.0644460556</v>
      </c>
      <c r="O209" s="681">
        <v>45604</v>
      </c>
      <c r="P209" s="678">
        <f t="shared" si="43"/>
        <v>9294.8484954705982</v>
      </c>
      <c r="Q209" s="678"/>
      <c r="R209" s="678">
        <f t="shared" si="37"/>
        <v>1.1077422179533452</v>
      </c>
      <c r="S209" s="678"/>
      <c r="T209" s="680">
        <f t="shared" si="42"/>
        <v>9295.9562376885515</v>
      </c>
    </row>
    <row r="210" spans="1:20">
      <c r="A210" s="682">
        <v>45605</v>
      </c>
      <c r="B210" s="678">
        <f t="shared" si="38"/>
        <v>538418.21642079193</v>
      </c>
      <c r="C210" s="678"/>
      <c r="D210" s="678">
        <f t="shared" si="36"/>
        <v>64.167650450149182</v>
      </c>
      <c r="E210" s="678"/>
      <c r="F210" s="678">
        <f t="shared" si="39"/>
        <v>538482.38407124206</v>
      </c>
      <c r="H210" s="682">
        <v>45605</v>
      </c>
      <c r="I210" s="678">
        <f t="shared" si="40"/>
        <v>1552690.0644460556</v>
      </c>
      <c r="J210" s="678"/>
      <c r="K210" s="678">
        <f t="shared" ref="K210:K273" si="44">SUM(I210*$K$1)/365</f>
        <v>185.04662411891348</v>
      </c>
      <c r="L210" s="678"/>
      <c r="M210" s="678">
        <f t="shared" si="41"/>
        <v>1552875.1110701745</v>
      </c>
      <c r="O210" s="682">
        <v>45605</v>
      </c>
      <c r="P210" s="678">
        <f t="shared" si="43"/>
        <v>9295.9562376885515</v>
      </c>
      <c r="Q210" s="678"/>
      <c r="R210" s="678">
        <f t="shared" si="37"/>
        <v>1.1078742365464438</v>
      </c>
      <c r="S210" s="678"/>
      <c r="T210" s="680">
        <f t="shared" si="42"/>
        <v>9297.0641119250977</v>
      </c>
    </row>
    <row r="211" spans="1:20">
      <c r="A211" s="681">
        <v>45606</v>
      </c>
      <c r="B211" s="678">
        <f t="shared" si="38"/>
        <v>538482.38407124206</v>
      </c>
      <c r="C211" s="678"/>
      <c r="D211" s="678">
        <f t="shared" ref="D211:D274" si="45">SUM(B211*$K$1)/365</f>
        <v>64.175297827668572</v>
      </c>
      <c r="E211" s="678"/>
      <c r="F211" s="678">
        <f t="shared" si="39"/>
        <v>538546.55936906976</v>
      </c>
      <c r="H211" s="681">
        <v>45606</v>
      </c>
      <c r="I211" s="678">
        <f t="shared" si="40"/>
        <v>1552875.1110701745</v>
      </c>
      <c r="J211" s="678"/>
      <c r="K211" s="678">
        <f t="shared" si="44"/>
        <v>185.06867762069203</v>
      </c>
      <c r="L211" s="678"/>
      <c r="M211" s="678">
        <f t="shared" si="41"/>
        <v>1553060.1797477952</v>
      </c>
      <c r="O211" s="681">
        <v>45606</v>
      </c>
      <c r="P211" s="678">
        <f t="shared" si="43"/>
        <v>9297.0641119250977</v>
      </c>
      <c r="Q211" s="678"/>
      <c r="R211" s="678">
        <f t="shared" si="37"/>
        <v>1.108006270873265</v>
      </c>
      <c r="S211" s="678"/>
      <c r="T211" s="680">
        <f t="shared" si="42"/>
        <v>9298.1721181959711</v>
      </c>
    </row>
    <row r="212" spans="1:20">
      <c r="A212" s="681">
        <v>45607</v>
      </c>
      <c r="B212" s="678">
        <f t="shared" si="38"/>
        <v>538546.55936906976</v>
      </c>
      <c r="C212" s="678"/>
      <c r="D212" s="678">
        <f t="shared" si="45"/>
        <v>64.182946116587772</v>
      </c>
      <c r="E212" s="678"/>
      <c r="F212" s="678">
        <f t="shared" si="39"/>
        <v>538610.7423151863</v>
      </c>
      <c r="H212" s="681">
        <v>45607</v>
      </c>
      <c r="I212" s="678">
        <f t="shared" si="40"/>
        <v>1553060.1797477952</v>
      </c>
      <c r="J212" s="678"/>
      <c r="K212" s="678">
        <f t="shared" si="44"/>
        <v>185.0907337507646</v>
      </c>
      <c r="L212" s="678"/>
      <c r="M212" s="678">
        <f t="shared" si="41"/>
        <v>1553245.2704815459</v>
      </c>
      <c r="O212" s="681">
        <v>45607</v>
      </c>
      <c r="P212" s="678">
        <f t="shared" si="43"/>
        <v>9298.1721181959711</v>
      </c>
      <c r="Q212" s="678"/>
      <c r="R212" s="678">
        <f t="shared" si="37"/>
        <v>1.1081383209356841</v>
      </c>
      <c r="S212" s="678"/>
      <c r="T212" s="680">
        <f t="shared" si="42"/>
        <v>9299.2802565169059</v>
      </c>
    </row>
    <row r="213" spans="1:20">
      <c r="A213" s="682">
        <v>45608</v>
      </c>
      <c r="B213" s="678">
        <f t="shared" si="38"/>
        <v>538610.7423151863</v>
      </c>
      <c r="C213" s="678"/>
      <c r="D213" s="678">
        <f t="shared" si="45"/>
        <v>64.190595317015351</v>
      </c>
      <c r="E213" s="678"/>
      <c r="F213" s="678">
        <f t="shared" si="39"/>
        <v>538674.93291050335</v>
      </c>
      <c r="H213" s="682">
        <v>45608</v>
      </c>
      <c r="I213" s="678">
        <f t="shared" si="40"/>
        <v>1553245.2704815459</v>
      </c>
      <c r="J213" s="678"/>
      <c r="K213" s="678">
        <f t="shared" si="44"/>
        <v>185.11279250944452</v>
      </c>
      <c r="L213" s="678"/>
      <c r="M213" s="678">
        <f t="shared" si="41"/>
        <v>1553430.3832740553</v>
      </c>
      <c r="O213" s="682">
        <v>45608</v>
      </c>
      <c r="P213" s="678">
        <f t="shared" si="43"/>
        <v>9299.2802565169059</v>
      </c>
      <c r="Q213" s="678"/>
      <c r="R213" s="678">
        <f t="shared" ref="R213:R276" si="46">SUM(P213*$K$1)/365</f>
        <v>1.1082703867355763</v>
      </c>
      <c r="S213" s="678"/>
      <c r="T213" s="680">
        <f t="shared" si="42"/>
        <v>9300.3885269036418</v>
      </c>
    </row>
    <row r="214" spans="1:20">
      <c r="A214" s="681">
        <v>45609</v>
      </c>
      <c r="B214" s="678">
        <f t="shared" si="38"/>
        <v>538674.93291050335</v>
      </c>
      <c r="C214" s="678"/>
      <c r="D214" s="678">
        <f t="shared" si="45"/>
        <v>64.198245429059995</v>
      </c>
      <c r="E214" s="678"/>
      <c r="F214" s="678">
        <f t="shared" si="39"/>
        <v>538739.13115593244</v>
      </c>
      <c r="H214" s="681">
        <v>45609</v>
      </c>
      <c r="I214" s="678">
        <f t="shared" si="40"/>
        <v>1553430.3832740553</v>
      </c>
      <c r="J214" s="678"/>
      <c r="K214" s="678">
        <f t="shared" si="44"/>
        <v>185.13485389704496</v>
      </c>
      <c r="L214" s="678"/>
      <c r="M214" s="678">
        <f t="shared" si="41"/>
        <v>1553615.5181279525</v>
      </c>
      <c r="O214" s="681">
        <v>45609</v>
      </c>
      <c r="P214" s="678">
        <f t="shared" si="43"/>
        <v>9300.3885269036418</v>
      </c>
      <c r="Q214" s="678"/>
      <c r="R214" s="678">
        <f t="shared" si="46"/>
        <v>1.1084024682748175</v>
      </c>
      <c r="S214" s="678"/>
      <c r="T214" s="680">
        <f t="shared" si="42"/>
        <v>9301.4969293719168</v>
      </c>
    </row>
    <row r="215" spans="1:20">
      <c r="A215" s="681">
        <v>45610</v>
      </c>
      <c r="B215" s="678">
        <f t="shared" si="38"/>
        <v>538739.13115593244</v>
      </c>
      <c r="C215" s="678"/>
      <c r="D215" s="678">
        <f t="shared" si="45"/>
        <v>64.205896452830302</v>
      </c>
      <c r="E215" s="678"/>
      <c r="F215" s="678">
        <f t="shared" si="39"/>
        <v>538803.33705238532</v>
      </c>
      <c r="H215" s="681">
        <v>45610</v>
      </c>
      <c r="I215" s="678">
        <f t="shared" si="40"/>
        <v>1553615.5181279525</v>
      </c>
      <c r="J215" s="678"/>
      <c r="K215" s="678">
        <f t="shared" si="44"/>
        <v>185.15691791387925</v>
      </c>
      <c r="L215" s="678"/>
      <c r="M215" s="678">
        <f t="shared" si="41"/>
        <v>1553800.6750458663</v>
      </c>
      <c r="O215" s="681">
        <v>45610</v>
      </c>
      <c r="P215" s="678">
        <f t="shared" si="43"/>
        <v>9301.4969293719168</v>
      </c>
      <c r="Q215" s="678"/>
      <c r="R215" s="678">
        <f t="shared" si="46"/>
        <v>1.1085345655552832</v>
      </c>
      <c r="S215" s="678"/>
      <c r="T215" s="680">
        <f t="shared" si="42"/>
        <v>9302.6054639374725</v>
      </c>
    </row>
    <row r="216" spans="1:20">
      <c r="A216" s="682">
        <v>45611</v>
      </c>
      <c r="B216" s="678">
        <f t="shared" si="38"/>
        <v>538803.33705238532</v>
      </c>
      <c r="C216" s="678">
        <f>SUM($D$451+$D$452+$D$453)/12</f>
        <v>73029.166666666672</v>
      </c>
      <c r="D216" s="678">
        <f t="shared" si="45"/>
        <v>64.213548388434958</v>
      </c>
      <c r="E216" s="678"/>
      <c r="F216" s="678">
        <f t="shared" si="39"/>
        <v>611896.7172674404</v>
      </c>
      <c r="H216" s="682">
        <v>45611</v>
      </c>
      <c r="I216" s="678">
        <f t="shared" si="40"/>
        <v>1553800.6750458663</v>
      </c>
      <c r="J216" s="678"/>
      <c r="K216" s="678">
        <f t="shared" si="44"/>
        <v>185.17898456026077</v>
      </c>
      <c r="L216" s="678"/>
      <c r="M216" s="678">
        <f t="shared" si="41"/>
        <v>1553985.8540304266</v>
      </c>
      <c r="O216" s="682">
        <v>45611</v>
      </c>
      <c r="P216" s="678">
        <f t="shared" si="43"/>
        <v>9302.6054639374725</v>
      </c>
      <c r="Q216" s="678"/>
      <c r="R216" s="678">
        <f t="shared" si="46"/>
        <v>1.1086666785788495</v>
      </c>
      <c r="S216" s="678"/>
      <c r="T216" s="680">
        <f t="shared" si="42"/>
        <v>9303.714130616052</v>
      </c>
    </row>
    <row r="217" spans="1:20">
      <c r="A217" s="681">
        <v>45612</v>
      </c>
      <c r="B217" s="678">
        <f t="shared" si="38"/>
        <v>611896.7172674404</v>
      </c>
      <c r="C217" s="678"/>
      <c r="D217" s="678">
        <f t="shared" si="45"/>
        <v>72.924677263379877</v>
      </c>
      <c r="E217" s="678"/>
      <c r="F217" s="678">
        <f t="shared" si="39"/>
        <v>611969.64194470376</v>
      </c>
      <c r="H217" s="681">
        <v>45612</v>
      </c>
      <c r="I217" s="678">
        <f t="shared" si="40"/>
        <v>1553985.8540304266</v>
      </c>
      <c r="J217" s="678"/>
      <c r="K217" s="678">
        <f t="shared" si="44"/>
        <v>185.20105383650289</v>
      </c>
      <c r="L217" s="678"/>
      <c r="M217" s="678">
        <f t="shared" si="41"/>
        <v>1554171.0550842632</v>
      </c>
      <c r="O217" s="681">
        <v>45612</v>
      </c>
      <c r="P217" s="678">
        <f t="shared" si="43"/>
        <v>9303.714130616052</v>
      </c>
      <c r="Q217" s="678"/>
      <c r="R217" s="678">
        <f t="shared" si="46"/>
        <v>1.1087988073473924</v>
      </c>
      <c r="S217" s="678"/>
      <c r="T217" s="680">
        <f t="shared" si="42"/>
        <v>9304.8229294233988</v>
      </c>
    </row>
    <row r="218" spans="1:20">
      <c r="A218" s="681">
        <v>45613</v>
      </c>
      <c r="B218" s="678">
        <f t="shared" si="38"/>
        <v>611969.64194470376</v>
      </c>
      <c r="C218" s="678"/>
      <c r="D218" s="678">
        <f t="shared" si="45"/>
        <v>72.933368286560579</v>
      </c>
      <c r="E218" s="678"/>
      <c r="F218" s="678">
        <f t="shared" si="39"/>
        <v>612042.57531299035</v>
      </c>
      <c r="H218" s="681">
        <v>45613</v>
      </c>
      <c r="I218" s="678">
        <f t="shared" si="40"/>
        <v>1554171.0550842632</v>
      </c>
      <c r="J218" s="678"/>
      <c r="K218" s="678">
        <f t="shared" si="44"/>
        <v>185.22312574291902</v>
      </c>
      <c r="L218" s="678"/>
      <c r="M218" s="678">
        <f t="shared" si="41"/>
        <v>1554356.2782100062</v>
      </c>
      <c r="O218" s="681">
        <v>45613</v>
      </c>
      <c r="P218" s="678">
        <f t="shared" si="43"/>
        <v>9304.8229294233988</v>
      </c>
      <c r="Q218" s="678"/>
      <c r="R218" s="678">
        <f t="shared" si="46"/>
        <v>1.1089309518627886</v>
      </c>
      <c r="S218" s="678"/>
      <c r="T218" s="680">
        <f t="shared" si="42"/>
        <v>9305.9318603752617</v>
      </c>
    </row>
    <row r="219" spans="1:20">
      <c r="A219" s="682">
        <v>45614</v>
      </c>
      <c r="B219" s="678">
        <f t="shared" si="38"/>
        <v>612042.57531299035</v>
      </c>
      <c r="C219" s="678"/>
      <c r="D219" s="678">
        <f t="shared" si="45"/>
        <v>72.942060345520758</v>
      </c>
      <c r="E219" s="678"/>
      <c r="F219" s="678">
        <f t="shared" si="39"/>
        <v>612115.5173733359</v>
      </c>
      <c r="H219" s="682">
        <v>45614</v>
      </c>
      <c r="I219" s="678">
        <f t="shared" si="40"/>
        <v>1554356.2782100062</v>
      </c>
      <c r="J219" s="678"/>
      <c r="K219" s="678">
        <f t="shared" si="44"/>
        <v>185.24520027982263</v>
      </c>
      <c r="L219" s="678"/>
      <c r="M219" s="678">
        <f t="shared" si="41"/>
        <v>1554541.5234102861</v>
      </c>
      <c r="O219" s="682">
        <v>45614</v>
      </c>
      <c r="P219" s="678">
        <f t="shared" si="43"/>
        <v>9305.9318603752617</v>
      </c>
      <c r="Q219" s="678"/>
      <c r="R219" s="678">
        <f t="shared" si="46"/>
        <v>1.1090631121269146</v>
      </c>
      <c r="S219" s="678"/>
      <c r="T219" s="680">
        <f t="shared" si="42"/>
        <v>9307.0409234873878</v>
      </c>
    </row>
    <row r="220" spans="1:20">
      <c r="A220" s="681">
        <v>45615</v>
      </c>
      <c r="B220" s="678">
        <f t="shared" si="38"/>
        <v>612115.5173733359</v>
      </c>
      <c r="C220" s="678"/>
      <c r="D220" s="678">
        <f t="shared" si="45"/>
        <v>72.950753440383863</v>
      </c>
      <c r="E220" s="678"/>
      <c r="F220" s="678">
        <f t="shared" si="39"/>
        <v>612188.46812677628</v>
      </c>
      <c r="H220" s="681">
        <v>45615</v>
      </c>
      <c r="I220" s="678">
        <f t="shared" si="40"/>
        <v>1554541.5234102861</v>
      </c>
      <c r="J220" s="678"/>
      <c r="K220" s="678">
        <f t="shared" si="44"/>
        <v>185.26727744752725</v>
      </c>
      <c r="L220" s="678"/>
      <c r="M220" s="678">
        <f t="shared" si="41"/>
        <v>1554726.7906877336</v>
      </c>
      <c r="O220" s="681">
        <v>45615</v>
      </c>
      <c r="P220" s="678">
        <f t="shared" si="43"/>
        <v>9307.0409234873878</v>
      </c>
      <c r="Q220" s="678"/>
      <c r="R220" s="678">
        <f t="shared" si="46"/>
        <v>1.1091952881416474</v>
      </c>
      <c r="S220" s="678"/>
      <c r="T220" s="680">
        <f t="shared" si="42"/>
        <v>9308.1501187755293</v>
      </c>
    </row>
    <row r="221" spans="1:20">
      <c r="A221" s="681">
        <v>45616</v>
      </c>
      <c r="B221" s="678">
        <f t="shared" si="38"/>
        <v>612188.46812677628</v>
      </c>
      <c r="C221" s="678"/>
      <c r="D221" s="678">
        <f t="shared" si="45"/>
        <v>72.95944757127333</v>
      </c>
      <c r="E221" s="678"/>
      <c r="F221" s="678">
        <f t="shared" si="39"/>
        <v>612261.42757434759</v>
      </c>
      <c r="H221" s="681">
        <v>45616</v>
      </c>
      <c r="I221" s="678">
        <f t="shared" si="40"/>
        <v>1554726.7906877336</v>
      </c>
      <c r="J221" s="678"/>
      <c r="K221" s="678">
        <f t="shared" si="44"/>
        <v>185.2893572463463</v>
      </c>
      <c r="L221" s="678"/>
      <c r="M221" s="678">
        <f t="shared" si="41"/>
        <v>1554912.0800449799</v>
      </c>
      <c r="O221" s="681">
        <v>45616</v>
      </c>
      <c r="P221" s="678">
        <f t="shared" si="43"/>
        <v>9308.1501187755293</v>
      </c>
      <c r="Q221" s="678"/>
      <c r="R221" s="678">
        <f t="shared" si="46"/>
        <v>1.1093274799088644</v>
      </c>
      <c r="S221" s="678"/>
      <c r="T221" s="680">
        <f t="shared" si="42"/>
        <v>9309.2594462554389</v>
      </c>
    </row>
    <row r="222" spans="1:20">
      <c r="A222" s="682">
        <v>45617</v>
      </c>
      <c r="B222" s="678">
        <f t="shared" si="38"/>
        <v>612261.42757434759</v>
      </c>
      <c r="C222" s="678"/>
      <c r="D222" s="678">
        <f t="shared" si="45"/>
        <v>72.96814273831265</v>
      </c>
      <c r="E222" s="678"/>
      <c r="F222" s="678">
        <f t="shared" si="39"/>
        <v>612334.39571708592</v>
      </c>
      <c r="H222" s="682">
        <v>45617</v>
      </c>
      <c r="I222" s="678">
        <f t="shared" si="40"/>
        <v>1554912.0800449799</v>
      </c>
      <c r="J222" s="678"/>
      <c r="K222" s="678">
        <f t="shared" si="44"/>
        <v>185.31143967659349</v>
      </c>
      <c r="L222" s="678"/>
      <c r="M222" s="678">
        <f t="shared" si="41"/>
        <v>1555097.3914846566</v>
      </c>
      <c r="O222" s="682">
        <v>45617</v>
      </c>
      <c r="P222" s="678">
        <f t="shared" si="43"/>
        <v>9309.2594462554389</v>
      </c>
      <c r="Q222" s="678"/>
      <c r="R222" s="678">
        <f t="shared" si="46"/>
        <v>1.1094596874304425</v>
      </c>
      <c r="S222" s="678"/>
      <c r="T222" s="680">
        <f t="shared" si="42"/>
        <v>9310.3689059428689</v>
      </c>
    </row>
    <row r="223" spans="1:20">
      <c r="A223" s="681">
        <v>45618</v>
      </c>
      <c r="B223" s="678">
        <f t="shared" si="38"/>
        <v>612334.39571708592</v>
      </c>
      <c r="C223" s="678"/>
      <c r="D223" s="678">
        <f t="shared" si="45"/>
        <v>72.976838941625303</v>
      </c>
      <c r="E223" s="678"/>
      <c r="F223" s="678">
        <f t="shared" si="39"/>
        <v>612407.37255602749</v>
      </c>
      <c r="H223" s="681">
        <v>45618</v>
      </c>
      <c r="I223" s="678">
        <f t="shared" si="40"/>
        <v>1555097.3914846566</v>
      </c>
      <c r="J223" s="678"/>
      <c r="K223" s="678">
        <f t="shared" si="44"/>
        <v>185.33352473858235</v>
      </c>
      <c r="L223" s="678"/>
      <c r="M223" s="678">
        <f t="shared" si="41"/>
        <v>1555282.7250093953</v>
      </c>
      <c r="O223" s="681">
        <v>45618</v>
      </c>
      <c r="P223" s="678">
        <f t="shared" si="43"/>
        <v>9310.3689059428689</v>
      </c>
      <c r="Q223" s="678"/>
      <c r="R223" s="678">
        <f t="shared" si="46"/>
        <v>1.1095919107082597</v>
      </c>
      <c r="S223" s="678"/>
      <c r="T223" s="680">
        <f t="shared" si="42"/>
        <v>9311.4784978535772</v>
      </c>
    </row>
    <row r="224" spans="1:20">
      <c r="A224" s="681">
        <v>45619</v>
      </c>
      <c r="B224" s="678">
        <f t="shared" si="38"/>
        <v>612407.37255602749</v>
      </c>
      <c r="C224" s="678"/>
      <c r="D224" s="678">
        <f t="shared" si="45"/>
        <v>72.98553618133478</v>
      </c>
      <c r="E224" s="678"/>
      <c r="F224" s="678">
        <f t="shared" si="39"/>
        <v>612480.35809220886</v>
      </c>
      <c r="H224" s="681">
        <v>45619</v>
      </c>
      <c r="I224" s="678">
        <f t="shared" si="40"/>
        <v>1555282.7250093953</v>
      </c>
      <c r="J224" s="678"/>
      <c r="K224" s="678">
        <f t="shared" si="44"/>
        <v>185.35561243262654</v>
      </c>
      <c r="L224" s="678"/>
      <c r="M224" s="678">
        <f t="shared" si="41"/>
        <v>1555468.0806218279</v>
      </c>
      <c r="O224" s="681">
        <v>45619</v>
      </c>
      <c r="P224" s="678">
        <f t="shared" si="43"/>
        <v>9311.4784978535772</v>
      </c>
      <c r="Q224" s="678"/>
      <c r="R224" s="678">
        <f t="shared" si="46"/>
        <v>1.1097241497441934</v>
      </c>
      <c r="S224" s="678"/>
      <c r="T224" s="680">
        <f t="shared" si="42"/>
        <v>9312.5882220033218</v>
      </c>
    </row>
    <row r="225" spans="1:20">
      <c r="A225" s="682">
        <v>45620</v>
      </c>
      <c r="B225" s="678">
        <f t="shared" si="38"/>
        <v>612480.35809220886</v>
      </c>
      <c r="C225" s="678"/>
      <c r="D225" s="678">
        <f t="shared" si="45"/>
        <v>72.994234457564616</v>
      </c>
      <c r="E225" s="678"/>
      <c r="F225" s="678">
        <f t="shared" si="39"/>
        <v>612553.35232666647</v>
      </c>
      <c r="H225" s="682">
        <v>45620</v>
      </c>
      <c r="I225" s="678">
        <f t="shared" si="40"/>
        <v>1555468.0806218279</v>
      </c>
      <c r="J225" s="678"/>
      <c r="K225" s="678">
        <f t="shared" si="44"/>
        <v>185.37770275903978</v>
      </c>
      <c r="L225" s="678"/>
      <c r="M225" s="678">
        <f t="shared" si="41"/>
        <v>1555653.458324587</v>
      </c>
      <c r="O225" s="682">
        <v>45620</v>
      </c>
      <c r="P225" s="678">
        <f t="shared" si="43"/>
        <v>9312.5882220033218</v>
      </c>
      <c r="Q225" s="678"/>
      <c r="R225" s="678">
        <f t="shared" si="46"/>
        <v>1.1098564045401218</v>
      </c>
      <c r="S225" s="678"/>
      <c r="T225" s="680">
        <f t="shared" si="42"/>
        <v>9313.6980784078623</v>
      </c>
    </row>
    <row r="226" spans="1:20">
      <c r="A226" s="681">
        <v>45621</v>
      </c>
      <c r="B226" s="678">
        <f t="shared" si="38"/>
        <v>612553.35232666647</v>
      </c>
      <c r="C226" s="678"/>
      <c r="D226" s="678">
        <f t="shared" si="45"/>
        <v>73.002933770438332</v>
      </c>
      <c r="E226" s="678"/>
      <c r="F226" s="678">
        <f t="shared" si="39"/>
        <v>612626.35526043689</v>
      </c>
      <c r="H226" s="681">
        <v>45621</v>
      </c>
      <c r="I226" s="678">
        <f t="shared" si="40"/>
        <v>1555653.458324587</v>
      </c>
      <c r="J226" s="678"/>
      <c r="K226" s="678">
        <f t="shared" si="44"/>
        <v>185.39979571813569</v>
      </c>
      <c r="L226" s="678"/>
      <c r="M226" s="678">
        <f t="shared" si="41"/>
        <v>1555838.858120305</v>
      </c>
      <c r="O226" s="681">
        <v>45621</v>
      </c>
      <c r="P226" s="678">
        <f t="shared" si="43"/>
        <v>9313.6980784078623</v>
      </c>
      <c r="Q226" s="678"/>
      <c r="R226" s="678">
        <f t="shared" si="46"/>
        <v>1.1099886750979233</v>
      </c>
      <c r="S226" s="678"/>
      <c r="T226" s="680">
        <f t="shared" si="42"/>
        <v>9314.8080670829604</v>
      </c>
    </row>
    <row r="227" spans="1:20">
      <c r="A227" s="681">
        <v>45622</v>
      </c>
      <c r="B227" s="678">
        <f t="shared" si="38"/>
        <v>612626.35526043689</v>
      </c>
      <c r="C227" s="678"/>
      <c r="D227" s="678">
        <f t="shared" si="45"/>
        <v>73.011634120079464</v>
      </c>
      <c r="E227" s="678"/>
      <c r="F227" s="678">
        <f t="shared" si="39"/>
        <v>612699.36689455702</v>
      </c>
      <c r="H227" s="681">
        <v>45622</v>
      </c>
      <c r="I227" s="678">
        <f t="shared" si="40"/>
        <v>1555838.858120305</v>
      </c>
      <c r="J227" s="678"/>
      <c r="K227" s="678">
        <f t="shared" si="44"/>
        <v>185.42189131022812</v>
      </c>
      <c r="L227" s="678"/>
      <c r="M227" s="678">
        <f t="shared" si="41"/>
        <v>1556024.2800116153</v>
      </c>
      <c r="O227" s="681">
        <v>45622</v>
      </c>
      <c r="P227" s="678">
        <f t="shared" si="43"/>
        <v>9314.8080670829604</v>
      </c>
      <c r="Q227" s="678"/>
      <c r="R227" s="678">
        <f t="shared" si="46"/>
        <v>1.110120961419476</v>
      </c>
      <c r="S227" s="678"/>
      <c r="T227" s="680">
        <f t="shared" si="42"/>
        <v>9315.9181880443793</v>
      </c>
    </row>
    <row r="228" spans="1:20">
      <c r="A228" s="682">
        <v>45623</v>
      </c>
      <c r="B228" s="678">
        <f t="shared" si="38"/>
        <v>612699.36689455702</v>
      </c>
      <c r="C228" s="678"/>
      <c r="D228" s="678">
        <f t="shared" si="45"/>
        <v>73.020335506611588</v>
      </c>
      <c r="E228" s="678"/>
      <c r="F228" s="678">
        <f t="shared" si="39"/>
        <v>612772.38723006367</v>
      </c>
      <c r="H228" s="682">
        <v>45623</v>
      </c>
      <c r="I228" s="678">
        <f t="shared" si="40"/>
        <v>1556024.2800116153</v>
      </c>
      <c r="J228" s="678"/>
      <c r="K228" s="678">
        <f t="shared" si="44"/>
        <v>185.44398953563083</v>
      </c>
      <c r="L228" s="678"/>
      <c r="M228" s="678">
        <f t="shared" si="41"/>
        <v>1556209.7240011508</v>
      </c>
      <c r="O228" s="682">
        <v>45623</v>
      </c>
      <c r="P228" s="678">
        <f t="shared" si="43"/>
        <v>9315.9181880443793</v>
      </c>
      <c r="Q228" s="678"/>
      <c r="R228" s="678">
        <f t="shared" si="46"/>
        <v>1.1102532635066589</v>
      </c>
      <c r="S228" s="678"/>
      <c r="T228" s="680">
        <f t="shared" si="42"/>
        <v>9317.0284413078862</v>
      </c>
    </row>
    <row r="229" spans="1:20">
      <c r="A229" s="681">
        <v>45624</v>
      </c>
      <c r="B229" s="678">
        <f t="shared" si="38"/>
        <v>612772.38723006367</v>
      </c>
      <c r="C229" s="678"/>
      <c r="D229" s="678">
        <f t="shared" si="45"/>
        <v>73.029037930158267</v>
      </c>
      <c r="E229" s="678"/>
      <c r="F229" s="678">
        <f t="shared" si="39"/>
        <v>612845.41626799386</v>
      </c>
      <c r="H229" s="681">
        <v>45624</v>
      </c>
      <c r="I229" s="678">
        <f t="shared" si="40"/>
        <v>1556209.7240011508</v>
      </c>
      <c r="J229" s="678"/>
      <c r="K229" s="678">
        <f t="shared" si="44"/>
        <v>185.46609039465767</v>
      </c>
      <c r="L229" s="678"/>
      <c r="M229" s="678">
        <f t="shared" si="41"/>
        <v>1556395.1900915455</v>
      </c>
      <c r="O229" s="681">
        <v>45624</v>
      </c>
      <c r="P229" s="678">
        <f t="shared" si="43"/>
        <v>9317.0284413078862</v>
      </c>
      <c r="Q229" s="678"/>
      <c r="R229" s="678">
        <f t="shared" si="46"/>
        <v>1.1103855813613508</v>
      </c>
      <c r="S229" s="678"/>
      <c r="T229" s="680">
        <f t="shared" si="42"/>
        <v>9318.1388268892479</v>
      </c>
    </row>
    <row r="230" spans="1:20">
      <c r="A230" s="681">
        <v>45625</v>
      </c>
      <c r="B230" s="678">
        <f t="shared" si="38"/>
        <v>612845.41626799386</v>
      </c>
      <c r="C230" s="678"/>
      <c r="D230" s="678">
        <f t="shared" si="45"/>
        <v>73.037741390843095</v>
      </c>
      <c r="E230" s="678"/>
      <c r="F230" s="678">
        <f t="shared" si="39"/>
        <v>612918.45400938473</v>
      </c>
      <c r="H230" s="681">
        <v>45625</v>
      </c>
      <c r="I230" s="678">
        <f t="shared" si="40"/>
        <v>1556395.1900915455</v>
      </c>
      <c r="J230" s="678"/>
      <c r="K230" s="678">
        <f t="shared" si="44"/>
        <v>185.48819388762254</v>
      </c>
      <c r="L230" s="678"/>
      <c r="M230" s="678">
        <f t="shared" si="41"/>
        <v>1556580.678285433</v>
      </c>
      <c r="O230" s="681">
        <v>45625</v>
      </c>
      <c r="P230" s="678">
        <f t="shared" si="43"/>
        <v>9318.1388268892479</v>
      </c>
      <c r="Q230" s="678"/>
      <c r="R230" s="678">
        <f t="shared" si="46"/>
        <v>1.1105179149854307</v>
      </c>
      <c r="S230" s="678"/>
      <c r="T230" s="680">
        <f t="shared" si="42"/>
        <v>9319.2493448042333</v>
      </c>
    </row>
    <row r="231" spans="1:20">
      <c r="A231" s="682">
        <v>45626</v>
      </c>
      <c r="B231" s="678">
        <f t="shared" si="38"/>
        <v>612918.45400938473</v>
      </c>
      <c r="C231" s="678"/>
      <c r="D231" s="678">
        <f t="shared" si="45"/>
        <v>73.046445888789677</v>
      </c>
      <c r="E231" s="678">
        <f>+E201</f>
        <v>81000.5</v>
      </c>
      <c r="F231" s="678">
        <f t="shared" si="39"/>
        <v>531991.00045527355</v>
      </c>
      <c r="H231" s="682">
        <v>45626</v>
      </c>
      <c r="I231" s="678">
        <f t="shared" si="40"/>
        <v>1556580.678285433</v>
      </c>
      <c r="J231" s="678"/>
      <c r="K231" s="678">
        <f t="shared" si="44"/>
        <v>185.51030001483926</v>
      </c>
      <c r="L231" s="678"/>
      <c r="M231" s="678">
        <f t="shared" si="41"/>
        <v>1556766.1885854478</v>
      </c>
      <c r="O231" s="682">
        <v>45626</v>
      </c>
      <c r="P231" s="678">
        <f t="shared" si="43"/>
        <v>9319.2493448042333</v>
      </c>
      <c r="Q231" s="678"/>
      <c r="R231" s="678">
        <f t="shared" si="46"/>
        <v>1.1106502643807785</v>
      </c>
      <c r="S231" s="678"/>
      <c r="T231" s="680">
        <f t="shared" si="42"/>
        <v>9320.3599950686148</v>
      </c>
    </row>
    <row r="232" spans="1:20">
      <c r="A232" s="681">
        <v>45627</v>
      </c>
      <c r="B232" s="678">
        <f t="shared" si="38"/>
        <v>531991.00045527355</v>
      </c>
      <c r="C232" s="678"/>
      <c r="D232" s="678">
        <f t="shared" si="45"/>
        <v>63.401667177546294</v>
      </c>
      <c r="E232" s="678"/>
      <c r="F232" s="678">
        <f t="shared" si="39"/>
        <v>532054.40212245111</v>
      </c>
      <c r="H232" s="681">
        <v>45627</v>
      </c>
      <c r="I232" s="678">
        <f t="shared" si="40"/>
        <v>1556766.1885854478</v>
      </c>
      <c r="J232" s="678"/>
      <c r="K232" s="678">
        <f t="shared" si="44"/>
        <v>185.53240877662185</v>
      </c>
      <c r="L232" s="678"/>
      <c r="M232" s="678">
        <f t="shared" si="41"/>
        <v>1556951.7209942245</v>
      </c>
      <c r="O232" s="681">
        <v>45627</v>
      </c>
      <c r="P232" s="678">
        <f t="shared" si="43"/>
        <v>9320.3599950686148</v>
      </c>
      <c r="Q232" s="678"/>
      <c r="R232" s="678">
        <f t="shared" si="46"/>
        <v>1.1107826295492731</v>
      </c>
      <c r="S232" s="678"/>
      <c r="T232" s="680">
        <f t="shared" si="42"/>
        <v>9321.470777698165</v>
      </c>
    </row>
    <row r="233" spans="1:20">
      <c r="A233" s="681">
        <v>45628</v>
      </c>
      <c r="B233" s="678">
        <f t="shared" si="38"/>
        <v>532054.40212245111</v>
      </c>
      <c r="C233" s="678"/>
      <c r="D233" s="678">
        <f t="shared" si="45"/>
        <v>63.409223266648283</v>
      </c>
      <c r="E233" s="678"/>
      <c r="F233" s="678">
        <f t="shared" si="39"/>
        <v>532117.81134571775</v>
      </c>
      <c r="H233" s="681">
        <v>45628</v>
      </c>
      <c r="I233" s="678">
        <f t="shared" si="40"/>
        <v>1556951.7209942245</v>
      </c>
      <c r="J233" s="678"/>
      <c r="K233" s="678">
        <f t="shared" si="44"/>
        <v>185.55452017328429</v>
      </c>
      <c r="L233" s="678"/>
      <c r="M233" s="678">
        <f t="shared" si="41"/>
        <v>1557137.2755143978</v>
      </c>
      <c r="O233" s="681">
        <v>45628</v>
      </c>
      <c r="P233" s="678">
        <f t="shared" si="43"/>
        <v>9321.470777698165</v>
      </c>
      <c r="Q233" s="678"/>
      <c r="R233" s="678">
        <f t="shared" si="46"/>
        <v>1.110915010492795</v>
      </c>
      <c r="S233" s="678"/>
      <c r="T233" s="680">
        <f t="shared" si="42"/>
        <v>9322.581692708658</v>
      </c>
    </row>
    <row r="234" spans="1:20">
      <c r="A234" s="682">
        <v>45629</v>
      </c>
      <c r="B234" s="678">
        <f t="shared" si="38"/>
        <v>532117.81134571775</v>
      </c>
      <c r="C234" s="678"/>
      <c r="D234" s="678">
        <f t="shared" si="45"/>
        <v>63.416780256270471</v>
      </c>
      <c r="E234" s="678"/>
      <c r="F234" s="678">
        <f t="shared" si="39"/>
        <v>532181.22812597407</v>
      </c>
      <c r="H234" s="682">
        <v>45629</v>
      </c>
      <c r="I234" s="678">
        <f t="shared" si="40"/>
        <v>1557137.2755143978</v>
      </c>
      <c r="J234" s="678"/>
      <c r="K234" s="678">
        <f t="shared" si="44"/>
        <v>185.57663420514055</v>
      </c>
      <c r="L234" s="678"/>
      <c r="M234" s="678">
        <f t="shared" si="41"/>
        <v>1557322.8521486029</v>
      </c>
      <c r="O234" s="682">
        <v>45629</v>
      </c>
      <c r="P234" s="678">
        <f t="shared" si="43"/>
        <v>9322.581692708658</v>
      </c>
      <c r="Q234" s="678"/>
      <c r="R234" s="678">
        <f t="shared" si="46"/>
        <v>1.1110474072132235</v>
      </c>
      <c r="S234" s="678"/>
      <c r="T234" s="680">
        <f t="shared" si="42"/>
        <v>9323.6927401158719</v>
      </c>
    </row>
    <row r="235" spans="1:20">
      <c r="A235" s="681">
        <v>45630</v>
      </c>
      <c r="B235" s="678">
        <f t="shared" si="38"/>
        <v>532181.22812597407</v>
      </c>
      <c r="C235" s="678"/>
      <c r="D235" s="678">
        <f t="shared" si="45"/>
        <v>63.424338146520192</v>
      </c>
      <c r="E235" s="678"/>
      <c r="F235" s="678">
        <f t="shared" si="39"/>
        <v>532244.65246412053</v>
      </c>
      <c r="H235" s="681">
        <v>45630</v>
      </c>
      <c r="I235" s="678">
        <f t="shared" si="40"/>
        <v>1557322.8521486029</v>
      </c>
      <c r="J235" s="678"/>
      <c r="K235" s="678">
        <f t="shared" si="44"/>
        <v>185.59875087250472</v>
      </c>
      <c r="L235" s="678"/>
      <c r="M235" s="678">
        <f t="shared" si="41"/>
        <v>1557508.4508994755</v>
      </c>
      <c r="O235" s="681">
        <v>45630</v>
      </c>
      <c r="P235" s="678">
        <f t="shared" si="43"/>
        <v>9323.6927401158719</v>
      </c>
      <c r="Q235" s="678"/>
      <c r="R235" s="678">
        <f t="shared" si="46"/>
        <v>1.1111798197124394</v>
      </c>
      <c r="S235" s="678"/>
      <c r="T235" s="680">
        <f t="shared" si="42"/>
        <v>9324.8039199355844</v>
      </c>
    </row>
    <row r="236" spans="1:20">
      <c r="A236" s="681">
        <v>45631</v>
      </c>
      <c r="B236" s="678">
        <f t="shared" si="38"/>
        <v>532244.65246412053</v>
      </c>
      <c r="C236" s="678"/>
      <c r="D236" s="678">
        <f t="shared" si="45"/>
        <v>63.431896937504774</v>
      </c>
      <c r="E236" s="678"/>
      <c r="F236" s="678">
        <f t="shared" si="39"/>
        <v>532308.08436105808</v>
      </c>
      <c r="H236" s="681">
        <v>45631</v>
      </c>
      <c r="I236" s="678">
        <f t="shared" si="40"/>
        <v>1557508.4508994755</v>
      </c>
      <c r="J236" s="678"/>
      <c r="K236" s="678">
        <f t="shared" si="44"/>
        <v>185.62087017569092</v>
      </c>
      <c r="L236" s="678"/>
      <c r="M236" s="678">
        <f t="shared" si="41"/>
        <v>1557694.0717696513</v>
      </c>
      <c r="O236" s="681">
        <v>45631</v>
      </c>
      <c r="P236" s="678">
        <f t="shared" si="43"/>
        <v>9324.8039199355844</v>
      </c>
      <c r="Q236" s="678"/>
      <c r="R236" s="678">
        <f t="shared" si="46"/>
        <v>1.111312247992323</v>
      </c>
      <c r="S236" s="678">
        <f>+P236/7</f>
        <v>1332.1148457050836</v>
      </c>
      <c r="T236" s="680">
        <f t="shared" si="42"/>
        <v>7993.8003864784932</v>
      </c>
    </row>
    <row r="237" spans="1:20">
      <c r="A237" s="682">
        <v>45632</v>
      </c>
      <c r="B237" s="678">
        <f t="shared" si="38"/>
        <v>532308.08436105808</v>
      </c>
      <c r="C237" s="678"/>
      <c r="D237" s="678">
        <f t="shared" si="45"/>
        <v>63.439456629331573</v>
      </c>
      <c r="E237" s="678"/>
      <c r="F237" s="678">
        <f t="shared" si="39"/>
        <v>532371.52381768741</v>
      </c>
      <c r="H237" s="682">
        <v>45632</v>
      </c>
      <c r="I237" s="678">
        <f t="shared" si="40"/>
        <v>1557694.0717696513</v>
      </c>
      <c r="J237" s="678"/>
      <c r="K237" s="678">
        <f t="shared" si="44"/>
        <v>185.64299211501321</v>
      </c>
      <c r="L237" s="678"/>
      <c r="M237" s="678">
        <f t="shared" si="41"/>
        <v>1557879.7147617664</v>
      </c>
      <c r="O237" s="682">
        <v>45632</v>
      </c>
      <c r="P237" s="678">
        <f t="shared" si="43"/>
        <v>7993.8003864784932</v>
      </c>
      <c r="Q237" s="678"/>
      <c r="R237" s="678">
        <f t="shared" si="46"/>
        <v>0.95268579948442311</v>
      </c>
      <c r="S237" s="678"/>
      <c r="T237" s="680">
        <f t="shared" si="42"/>
        <v>7994.7530722779775</v>
      </c>
    </row>
    <row r="238" spans="1:20">
      <c r="A238" s="681">
        <v>45633</v>
      </c>
      <c r="B238" s="678">
        <f t="shared" si="38"/>
        <v>532371.52381768741</v>
      </c>
      <c r="C238" s="678"/>
      <c r="D238" s="678">
        <f t="shared" si="45"/>
        <v>63.447017222107945</v>
      </c>
      <c r="E238" s="678"/>
      <c r="F238" s="678">
        <f t="shared" si="39"/>
        <v>532434.97083490947</v>
      </c>
      <c r="H238" s="681">
        <v>45633</v>
      </c>
      <c r="I238" s="678">
        <f t="shared" si="40"/>
        <v>1557879.7147617664</v>
      </c>
      <c r="J238" s="678"/>
      <c r="K238" s="678">
        <f t="shared" si="44"/>
        <v>185.66511669078585</v>
      </c>
      <c r="L238" s="678"/>
      <c r="M238" s="678">
        <f t="shared" si="41"/>
        <v>1558065.3798784572</v>
      </c>
      <c r="O238" s="681">
        <v>45633</v>
      </c>
      <c r="P238" s="678">
        <f t="shared" si="43"/>
        <v>7994.7530722779775</v>
      </c>
      <c r="Q238" s="678"/>
      <c r="R238" s="678">
        <f t="shared" si="46"/>
        <v>0.95279933875093703</v>
      </c>
      <c r="S238" s="678"/>
      <c r="T238" s="680">
        <f t="shared" si="42"/>
        <v>7995.7058716167285</v>
      </c>
    </row>
    <row r="239" spans="1:20">
      <c r="A239" s="681">
        <v>45634</v>
      </c>
      <c r="B239" s="678">
        <f t="shared" si="38"/>
        <v>532434.97083490947</v>
      </c>
      <c r="C239" s="678"/>
      <c r="D239" s="678">
        <f t="shared" si="45"/>
        <v>63.45457871594126</v>
      </c>
      <c r="E239" s="678"/>
      <c r="F239" s="678">
        <f t="shared" si="39"/>
        <v>532498.42541362543</v>
      </c>
      <c r="H239" s="681">
        <v>45634</v>
      </c>
      <c r="I239" s="678">
        <f t="shared" si="40"/>
        <v>1558065.3798784572</v>
      </c>
      <c r="J239" s="678"/>
      <c r="K239" s="678">
        <f t="shared" si="44"/>
        <v>185.68724390332298</v>
      </c>
      <c r="L239" s="678"/>
      <c r="M239" s="678">
        <f t="shared" si="41"/>
        <v>1558251.0671223605</v>
      </c>
      <c r="O239" s="681">
        <v>45634</v>
      </c>
      <c r="P239" s="678">
        <f t="shared" si="43"/>
        <v>7995.7058716167285</v>
      </c>
      <c r="Q239" s="678"/>
      <c r="R239" s="678">
        <f t="shared" si="46"/>
        <v>0.95291289154884296</v>
      </c>
      <c r="S239" s="678"/>
      <c r="T239" s="680">
        <f t="shared" si="42"/>
        <v>7996.6587845082777</v>
      </c>
    </row>
    <row r="240" spans="1:20">
      <c r="A240" s="682">
        <v>45635</v>
      </c>
      <c r="B240" s="678">
        <f t="shared" si="38"/>
        <v>532498.42541362543</v>
      </c>
      <c r="C240" s="678"/>
      <c r="D240" s="678">
        <f t="shared" si="45"/>
        <v>63.462141110938909</v>
      </c>
      <c r="E240" s="678"/>
      <c r="F240" s="678">
        <f t="shared" si="39"/>
        <v>532561.88755473634</v>
      </c>
      <c r="H240" s="682">
        <v>45635</v>
      </c>
      <c r="I240" s="678">
        <f t="shared" si="40"/>
        <v>1558251.0671223605</v>
      </c>
      <c r="J240" s="678"/>
      <c r="K240" s="678">
        <f t="shared" si="44"/>
        <v>185.70937375293883</v>
      </c>
      <c r="L240" s="678"/>
      <c r="M240" s="678">
        <f t="shared" si="41"/>
        <v>1558436.7764961135</v>
      </c>
      <c r="O240" s="682">
        <v>45635</v>
      </c>
      <c r="P240" s="678">
        <f t="shared" si="43"/>
        <v>7996.6587845082777</v>
      </c>
      <c r="Q240" s="678"/>
      <c r="R240" s="678">
        <f t="shared" si="46"/>
        <v>0.9530264578797536</v>
      </c>
      <c r="S240" s="678"/>
      <c r="T240" s="680">
        <f t="shared" si="42"/>
        <v>7997.6118109661575</v>
      </c>
    </row>
    <row r="241" spans="1:20">
      <c r="A241" s="681">
        <v>45636</v>
      </c>
      <c r="B241" s="678">
        <f t="shared" si="38"/>
        <v>532561.88755473634</v>
      </c>
      <c r="C241" s="678"/>
      <c r="D241" s="678">
        <f t="shared" si="45"/>
        <v>63.469704407208297</v>
      </c>
      <c r="E241" s="678"/>
      <c r="F241" s="678">
        <f t="shared" si="39"/>
        <v>532625.35725914349</v>
      </c>
      <c r="H241" s="681">
        <v>45636</v>
      </c>
      <c r="I241" s="678">
        <f t="shared" si="40"/>
        <v>1558436.7764961135</v>
      </c>
      <c r="J241" s="678"/>
      <c r="K241" s="678">
        <f t="shared" si="44"/>
        <v>185.73150623994775</v>
      </c>
      <c r="L241" s="678"/>
      <c r="M241" s="678">
        <f t="shared" si="41"/>
        <v>1558622.5080023534</v>
      </c>
      <c r="O241" s="681">
        <v>45636</v>
      </c>
      <c r="P241" s="678">
        <f t="shared" si="43"/>
        <v>7997.6118109661575</v>
      </c>
      <c r="Q241" s="678"/>
      <c r="R241" s="678">
        <f t="shared" si="46"/>
        <v>0.95314003774528178</v>
      </c>
      <c r="S241" s="678"/>
      <c r="T241" s="680">
        <f t="shared" si="42"/>
        <v>7998.5649510039029</v>
      </c>
    </row>
    <row r="242" spans="1:20">
      <c r="A242" s="681">
        <v>45637</v>
      </c>
      <c r="B242" s="678">
        <f t="shared" si="38"/>
        <v>532625.35725914349</v>
      </c>
      <c r="C242" s="678"/>
      <c r="D242" s="678">
        <f t="shared" si="45"/>
        <v>63.477268604856825</v>
      </c>
      <c r="E242" s="678"/>
      <c r="F242" s="678">
        <f t="shared" si="39"/>
        <v>532688.8345277484</v>
      </c>
      <c r="H242" s="681">
        <v>45637</v>
      </c>
      <c r="I242" s="678">
        <f t="shared" si="40"/>
        <v>1558622.5080023534</v>
      </c>
      <c r="J242" s="678"/>
      <c r="K242" s="678">
        <f t="shared" si="44"/>
        <v>185.75364136466399</v>
      </c>
      <c r="L242" s="678"/>
      <c r="M242" s="678">
        <f t="shared" si="41"/>
        <v>1558808.261643718</v>
      </c>
      <c r="O242" s="681">
        <v>45637</v>
      </c>
      <c r="P242" s="678">
        <f t="shared" si="43"/>
        <v>7998.5649510039029</v>
      </c>
      <c r="Q242" s="678"/>
      <c r="R242" s="678">
        <f t="shared" si="46"/>
        <v>0.95325363114704043</v>
      </c>
      <c r="S242" s="678"/>
      <c r="T242" s="680">
        <f t="shared" si="42"/>
        <v>7999.5182046350501</v>
      </c>
    </row>
    <row r="243" spans="1:20">
      <c r="A243" s="682">
        <v>45638</v>
      </c>
      <c r="B243" s="678">
        <f t="shared" si="38"/>
        <v>532688.8345277484</v>
      </c>
      <c r="C243" s="678"/>
      <c r="D243" s="678">
        <f t="shared" si="45"/>
        <v>63.484833703991931</v>
      </c>
      <c r="E243" s="678"/>
      <c r="F243" s="678">
        <f t="shared" si="39"/>
        <v>532752.31936145236</v>
      </c>
      <c r="H243" s="682">
        <v>45638</v>
      </c>
      <c r="I243" s="678">
        <f t="shared" si="40"/>
        <v>1558808.261643718</v>
      </c>
      <c r="J243" s="678"/>
      <c r="K243" s="678">
        <f t="shared" si="44"/>
        <v>185.77577912740199</v>
      </c>
      <c r="L243" s="678"/>
      <c r="M243" s="678">
        <f t="shared" si="41"/>
        <v>1558994.0374228454</v>
      </c>
      <c r="O243" s="682">
        <v>45638</v>
      </c>
      <c r="P243" s="678">
        <f t="shared" si="43"/>
        <v>7999.5182046350501</v>
      </c>
      <c r="Q243" s="678"/>
      <c r="R243" s="678">
        <f t="shared" si="46"/>
        <v>0.95336723808664292</v>
      </c>
      <c r="S243" s="678"/>
      <c r="T243" s="680">
        <f t="shared" si="42"/>
        <v>8000.4715718731368</v>
      </c>
    </row>
    <row r="244" spans="1:20">
      <c r="A244" s="681">
        <v>45639</v>
      </c>
      <c r="B244" s="678">
        <f t="shared" si="38"/>
        <v>532752.31936145236</v>
      </c>
      <c r="C244" s="678"/>
      <c r="D244" s="678">
        <f t="shared" si="45"/>
        <v>63.492399704721038</v>
      </c>
      <c r="E244" s="678"/>
      <c r="F244" s="678">
        <f t="shared" si="39"/>
        <v>532815.81176115712</v>
      </c>
      <c r="H244" s="681">
        <v>45639</v>
      </c>
      <c r="I244" s="678">
        <f t="shared" si="40"/>
        <v>1558994.0374228454</v>
      </c>
      <c r="J244" s="678"/>
      <c r="K244" s="678">
        <f t="shared" si="44"/>
        <v>185.79791952847609</v>
      </c>
      <c r="L244" s="678"/>
      <c r="M244" s="678">
        <f t="shared" si="41"/>
        <v>1559179.8353423739</v>
      </c>
      <c r="O244" s="681">
        <v>45639</v>
      </c>
      <c r="P244" s="678">
        <f t="shared" si="43"/>
        <v>8000.4715718731368</v>
      </c>
      <c r="Q244" s="678"/>
      <c r="R244" s="678">
        <f t="shared" si="46"/>
        <v>0.95348085856570253</v>
      </c>
      <c r="S244" s="678"/>
      <c r="T244" s="680">
        <f t="shared" si="42"/>
        <v>8001.4250527317026</v>
      </c>
    </row>
    <row r="245" spans="1:20">
      <c r="A245" s="681">
        <v>45640</v>
      </c>
      <c r="B245" s="678">
        <f t="shared" si="38"/>
        <v>532815.81176115712</v>
      </c>
      <c r="C245" s="678"/>
      <c r="D245" s="678">
        <f t="shared" si="45"/>
        <v>63.499966607151592</v>
      </c>
      <c r="E245" s="678"/>
      <c r="F245" s="678">
        <f t="shared" si="39"/>
        <v>532879.31172776432</v>
      </c>
      <c r="H245" s="681">
        <v>45640</v>
      </c>
      <c r="I245" s="678">
        <f t="shared" si="40"/>
        <v>1559179.8353423739</v>
      </c>
      <c r="J245" s="678"/>
      <c r="K245" s="678">
        <f t="shared" si="44"/>
        <v>185.82006256820074</v>
      </c>
      <c r="L245" s="678"/>
      <c r="M245" s="678">
        <f t="shared" si="41"/>
        <v>1559365.6554049421</v>
      </c>
      <c r="O245" s="681">
        <v>45640</v>
      </c>
      <c r="P245" s="678">
        <f t="shared" si="43"/>
        <v>8001.4250527317026</v>
      </c>
      <c r="Q245" s="678"/>
      <c r="R245" s="678">
        <f t="shared" si="46"/>
        <v>0.95359449258583295</v>
      </c>
      <c r="S245" s="678"/>
      <c r="T245" s="680">
        <f t="shared" si="42"/>
        <v>8002.3786472242882</v>
      </c>
    </row>
    <row r="246" spans="1:20">
      <c r="A246" s="682">
        <v>45641</v>
      </c>
      <c r="B246" s="678">
        <f t="shared" si="38"/>
        <v>532879.31172776432</v>
      </c>
      <c r="C246" s="678">
        <f>SUM($D$451+$D$452+$D$453)/12</f>
        <v>73029.166666666672</v>
      </c>
      <c r="D246" s="678">
        <f t="shared" si="45"/>
        <v>63.507534411391084</v>
      </c>
      <c r="E246" s="678"/>
      <c r="F246" s="678">
        <f t="shared" si="39"/>
        <v>605971.98592884233</v>
      </c>
      <c r="H246" s="682">
        <v>45641</v>
      </c>
      <c r="I246" s="678">
        <f t="shared" si="40"/>
        <v>1559365.6554049421</v>
      </c>
      <c r="J246" s="678"/>
      <c r="K246" s="678">
        <f t="shared" si="44"/>
        <v>185.84220824689035</v>
      </c>
      <c r="L246" s="678"/>
      <c r="M246" s="678">
        <f t="shared" si="41"/>
        <v>1559551.497613189</v>
      </c>
      <c r="O246" s="682">
        <v>45641</v>
      </c>
      <c r="P246" s="678">
        <f t="shared" si="43"/>
        <v>8002.3786472242882</v>
      </c>
      <c r="Q246" s="678"/>
      <c r="R246" s="678">
        <f t="shared" si="46"/>
        <v>0.95370814014864802</v>
      </c>
      <c r="S246" s="678"/>
      <c r="T246" s="680">
        <f t="shared" si="42"/>
        <v>8003.3323553644368</v>
      </c>
    </row>
    <row r="247" spans="1:20">
      <c r="A247" s="681">
        <v>45642</v>
      </c>
      <c r="B247" s="678">
        <f t="shared" si="38"/>
        <v>605971.98592884233</v>
      </c>
      <c r="C247" s="678"/>
      <c r="D247" s="678">
        <f t="shared" si="45"/>
        <v>72.218579144944215</v>
      </c>
      <c r="E247" s="678"/>
      <c r="F247" s="678">
        <f t="shared" si="39"/>
        <v>606044.20450798725</v>
      </c>
      <c r="H247" s="681">
        <v>45642</v>
      </c>
      <c r="I247" s="678">
        <f t="shared" si="40"/>
        <v>1559551.497613189</v>
      </c>
      <c r="J247" s="678"/>
      <c r="K247" s="678">
        <f t="shared" si="44"/>
        <v>185.86435656485949</v>
      </c>
      <c r="L247" s="678"/>
      <c r="M247" s="678">
        <f t="shared" si="41"/>
        <v>1559737.3619697539</v>
      </c>
      <c r="O247" s="681">
        <v>45642</v>
      </c>
      <c r="P247" s="678">
        <f t="shared" si="43"/>
        <v>8003.3323553644368</v>
      </c>
      <c r="Q247" s="678"/>
      <c r="R247" s="678">
        <f t="shared" si="46"/>
        <v>0.95382180125576155</v>
      </c>
      <c r="S247" s="678"/>
      <c r="T247" s="680">
        <f t="shared" si="42"/>
        <v>8004.2861771656926</v>
      </c>
    </row>
    <row r="248" spans="1:20">
      <c r="A248" s="681">
        <v>45643</v>
      </c>
      <c r="B248" s="678">
        <f t="shared" si="38"/>
        <v>606044.20450798725</v>
      </c>
      <c r="C248" s="678"/>
      <c r="D248" s="678">
        <f t="shared" si="45"/>
        <v>72.227186016705318</v>
      </c>
      <c r="E248" s="678"/>
      <c r="F248" s="678">
        <f t="shared" si="39"/>
        <v>606116.43169400399</v>
      </c>
      <c r="H248" s="681">
        <v>45643</v>
      </c>
      <c r="I248" s="678">
        <f t="shared" si="40"/>
        <v>1559737.3619697539</v>
      </c>
      <c r="J248" s="678"/>
      <c r="K248" s="678">
        <f t="shared" si="44"/>
        <v>185.8865075224227</v>
      </c>
      <c r="L248" s="678"/>
      <c r="M248" s="678">
        <f t="shared" si="41"/>
        <v>1559923.2484772762</v>
      </c>
      <c r="O248" s="681">
        <v>45643</v>
      </c>
      <c r="P248" s="678">
        <f t="shared" si="43"/>
        <v>8004.2861771656926</v>
      </c>
      <c r="Q248" s="678"/>
      <c r="R248" s="678">
        <f t="shared" si="46"/>
        <v>0.95393547590878802</v>
      </c>
      <c r="S248" s="678"/>
      <c r="T248" s="680">
        <f t="shared" si="42"/>
        <v>8005.2401126416016</v>
      </c>
    </row>
    <row r="249" spans="1:20">
      <c r="A249" s="682">
        <v>45644</v>
      </c>
      <c r="B249" s="678">
        <f t="shared" si="38"/>
        <v>606116.43169400399</v>
      </c>
      <c r="C249" s="678"/>
      <c r="D249" s="678">
        <f t="shared" si="45"/>
        <v>72.235793914216913</v>
      </c>
      <c r="E249" s="678"/>
      <c r="F249" s="678">
        <f t="shared" si="39"/>
        <v>606188.66748791817</v>
      </c>
      <c r="H249" s="682">
        <v>45644</v>
      </c>
      <c r="I249" s="678">
        <f t="shared" si="40"/>
        <v>1559923.2484772762</v>
      </c>
      <c r="J249" s="678"/>
      <c r="K249" s="678">
        <f t="shared" si="44"/>
        <v>185.90866111989456</v>
      </c>
      <c r="L249" s="678"/>
      <c r="M249" s="678">
        <f t="shared" si="41"/>
        <v>1560109.1571383961</v>
      </c>
      <c r="O249" s="682">
        <v>45644</v>
      </c>
      <c r="P249" s="678">
        <f t="shared" si="43"/>
        <v>8005.2401126416016</v>
      </c>
      <c r="Q249" s="678"/>
      <c r="R249" s="678">
        <f t="shared" si="46"/>
        <v>0.95404916410934149</v>
      </c>
      <c r="S249" s="678"/>
      <c r="T249" s="680">
        <f t="shared" si="42"/>
        <v>8006.1941618057108</v>
      </c>
    </row>
    <row r="250" spans="1:20">
      <c r="A250" s="681">
        <v>45645</v>
      </c>
      <c r="B250" s="678">
        <f t="shared" si="38"/>
        <v>606188.66748791817</v>
      </c>
      <c r="C250" s="678"/>
      <c r="D250" s="678">
        <f t="shared" si="45"/>
        <v>72.2444028376012</v>
      </c>
      <c r="E250" s="678"/>
      <c r="F250" s="678">
        <f t="shared" si="39"/>
        <v>606260.91189075576</v>
      </c>
      <c r="H250" s="681">
        <v>45645</v>
      </c>
      <c r="I250" s="678">
        <f t="shared" si="40"/>
        <v>1560109.1571383961</v>
      </c>
      <c r="J250" s="678"/>
      <c r="K250" s="678">
        <f t="shared" si="44"/>
        <v>185.93081735758966</v>
      </c>
      <c r="L250" s="678"/>
      <c r="M250" s="678">
        <f t="shared" si="41"/>
        <v>1560295.0879557536</v>
      </c>
      <c r="O250" s="681">
        <v>45645</v>
      </c>
      <c r="P250" s="678">
        <f t="shared" si="43"/>
        <v>8006.1941618057108</v>
      </c>
      <c r="Q250" s="678"/>
      <c r="R250" s="678">
        <f t="shared" si="46"/>
        <v>0.95416286585903665</v>
      </c>
      <c r="S250" s="678"/>
      <c r="T250" s="680">
        <f t="shared" si="42"/>
        <v>8007.1483246715698</v>
      </c>
    </row>
    <row r="251" spans="1:20">
      <c r="A251" s="681">
        <v>45646</v>
      </c>
      <c r="B251" s="678">
        <f t="shared" si="38"/>
        <v>606260.91189075576</v>
      </c>
      <c r="C251" s="678"/>
      <c r="D251" s="678">
        <f t="shared" si="45"/>
        <v>72.253012786980477</v>
      </c>
      <c r="E251" s="678"/>
      <c r="F251" s="678">
        <f t="shared" si="39"/>
        <v>606333.16490354273</v>
      </c>
      <c r="H251" s="681">
        <v>45646</v>
      </c>
      <c r="I251" s="678">
        <f t="shared" si="40"/>
        <v>1560295.0879557536</v>
      </c>
      <c r="J251" s="678"/>
      <c r="K251" s="678">
        <f t="shared" si="44"/>
        <v>185.95297623582269</v>
      </c>
      <c r="L251" s="678"/>
      <c r="M251" s="678">
        <f t="shared" si="41"/>
        <v>1560481.0409319894</v>
      </c>
      <c r="O251" s="681">
        <v>45646</v>
      </c>
      <c r="P251" s="678">
        <f t="shared" si="43"/>
        <v>8007.1483246715698</v>
      </c>
      <c r="Q251" s="678"/>
      <c r="R251" s="678">
        <f t="shared" si="46"/>
        <v>0.95427658115948844</v>
      </c>
      <c r="S251" s="678"/>
      <c r="T251" s="680">
        <f t="shared" si="42"/>
        <v>8008.1026012527291</v>
      </c>
    </row>
    <row r="252" spans="1:20">
      <c r="A252" s="682">
        <v>45647</v>
      </c>
      <c r="B252" s="678">
        <f t="shared" si="38"/>
        <v>606333.16490354273</v>
      </c>
      <c r="C252" s="678"/>
      <c r="D252" s="678">
        <f t="shared" si="45"/>
        <v>72.261623762477001</v>
      </c>
      <c r="E252" s="678"/>
      <c r="F252" s="678">
        <f t="shared" si="39"/>
        <v>606405.42652730516</v>
      </c>
      <c r="H252" s="682">
        <v>45647</v>
      </c>
      <c r="I252" s="678">
        <f t="shared" si="40"/>
        <v>1560481.0409319894</v>
      </c>
      <c r="J252" s="678"/>
      <c r="K252" s="678">
        <f t="shared" si="44"/>
        <v>185.9751377549083</v>
      </c>
      <c r="L252" s="678"/>
      <c r="M252" s="678">
        <f t="shared" si="41"/>
        <v>1560667.0160697442</v>
      </c>
      <c r="O252" s="682">
        <v>45647</v>
      </c>
      <c r="P252" s="678">
        <f t="shared" si="43"/>
        <v>8008.1026012527291</v>
      </c>
      <c r="Q252" s="678"/>
      <c r="R252" s="678">
        <f t="shared" si="46"/>
        <v>0.95439031001231156</v>
      </c>
      <c r="S252" s="678"/>
      <c r="T252" s="680">
        <f t="shared" si="42"/>
        <v>8009.0569915627411</v>
      </c>
    </row>
    <row r="253" spans="1:20">
      <c r="A253" s="681">
        <v>45648</v>
      </c>
      <c r="B253" s="678">
        <f t="shared" si="38"/>
        <v>606405.42652730516</v>
      </c>
      <c r="C253" s="678"/>
      <c r="D253" s="678">
        <f t="shared" si="45"/>
        <v>72.270235764213069</v>
      </c>
      <c r="E253" s="678"/>
      <c r="F253" s="678">
        <f t="shared" si="39"/>
        <v>606477.69676306937</v>
      </c>
      <c r="H253" s="681">
        <v>45648</v>
      </c>
      <c r="I253" s="678">
        <f t="shared" si="40"/>
        <v>1560667.0160697442</v>
      </c>
      <c r="J253" s="678"/>
      <c r="K253" s="678">
        <f t="shared" si="44"/>
        <v>185.99730191516127</v>
      </c>
      <c r="L253" s="678"/>
      <c r="M253" s="678">
        <f t="shared" si="41"/>
        <v>1560853.0133716594</v>
      </c>
      <c r="O253" s="681">
        <v>45648</v>
      </c>
      <c r="P253" s="678">
        <f t="shared" si="43"/>
        <v>8009.0569915627411</v>
      </c>
      <c r="Q253" s="678"/>
      <c r="R253" s="678">
        <f t="shared" si="46"/>
        <v>0.95450405241912117</v>
      </c>
      <c r="S253" s="678"/>
      <c r="T253" s="680">
        <f t="shared" si="42"/>
        <v>8010.0114956151601</v>
      </c>
    </row>
    <row r="254" spans="1:20">
      <c r="A254" s="681">
        <v>45649</v>
      </c>
      <c r="B254" s="678">
        <f t="shared" si="38"/>
        <v>606477.69676306937</v>
      </c>
      <c r="C254" s="678"/>
      <c r="D254" s="678">
        <f t="shared" si="45"/>
        <v>72.278848792310995</v>
      </c>
      <c r="E254" s="678"/>
      <c r="F254" s="678">
        <f t="shared" si="39"/>
        <v>606549.97561186168</v>
      </c>
      <c r="H254" s="681">
        <v>45649</v>
      </c>
      <c r="I254" s="678">
        <f t="shared" si="40"/>
        <v>1560853.0133716594</v>
      </c>
      <c r="J254" s="678"/>
      <c r="K254" s="678">
        <f t="shared" si="44"/>
        <v>186.0194687168964</v>
      </c>
      <c r="L254" s="678"/>
      <c r="M254" s="678">
        <f t="shared" si="41"/>
        <v>1561039.0328403763</v>
      </c>
      <c r="O254" s="681">
        <v>45649</v>
      </c>
      <c r="P254" s="678">
        <f t="shared" si="43"/>
        <v>8010.0114956151601</v>
      </c>
      <c r="Q254" s="678"/>
      <c r="R254" s="678">
        <f t="shared" si="46"/>
        <v>0.95461780838153265</v>
      </c>
      <c r="S254" s="678"/>
      <c r="T254" s="680">
        <f t="shared" si="42"/>
        <v>8010.9661134235421</v>
      </c>
    </row>
    <row r="255" spans="1:20">
      <c r="A255" s="682">
        <v>45650</v>
      </c>
      <c r="B255" s="678">
        <f t="shared" si="38"/>
        <v>606549.97561186168</v>
      </c>
      <c r="C255" s="678"/>
      <c r="D255" s="678">
        <f t="shared" si="45"/>
        <v>72.287462846893106</v>
      </c>
      <c r="E255" s="678"/>
      <c r="F255" s="678">
        <f t="shared" si="39"/>
        <v>606622.26307470852</v>
      </c>
      <c r="H255" s="682">
        <v>45650</v>
      </c>
      <c r="I255" s="678">
        <f t="shared" si="40"/>
        <v>1561039.0328403763</v>
      </c>
      <c r="J255" s="678"/>
      <c r="K255" s="678">
        <f t="shared" si="44"/>
        <v>186.04163816042836</v>
      </c>
      <c r="L255" s="678"/>
      <c r="M255" s="678">
        <f t="shared" si="41"/>
        <v>1561225.0744785366</v>
      </c>
      <c r="O255" s="682">
        <v>45650</v>
      </c>
      <c r="P255" s="678">
        <f t="shared" si="43"/>
        <v>8010.9661134235421</v>
      </c>
      <c r="Q255" s="678"/>
      <c r="R255" s="678">
        <f t="shared" si="46"/>
        <v>0.9547315779011617</v>
      </c>
      <c r="S255" s="678"/>
      <c r="T255" s="680">
        <f t="shared" si="42"/>
        <v>8011.920845001443</v>
      </c>
    </row>
    <row r="256" spans="1:20">
      <c r="A256" s="681">
        <v>45651</v>
      </c>
      <c r="B256" s="678">
        <f t="shared" si="38"/>
        <v>606622.26307470852</v>
      </c>
      <c r="C256" s="678"/>
      <c r="D256" s="678">
        <f t="shared" si="45"/>
        <v>72.296077928081701</v>
      </c>
      <c r="E256" s="678"/>
      <c r="F256" s="678">
        <f t="shared" si="39"/>
        <v>606694.55915263656</v>
      </c>
      <c r="H256" s="681">
        <v>45651</v>
      </c>
      <c r="I256" s="678">
        <f t="shared" si="40"/>
        <v>1561225.0744785366</v>
      </c>
      <c r="J256" s="678"/>
      <c r="K256" s="678">
        <f t="shared" si="44"/>
        <v>186.06381024607217</v>
      </c>
      <c r="L256" s="678"/>
      <c r="M256" s="678">
        <f t="shared" si="41"/>
        <v>1561411.1382887827</v>
      </c>
      <c r="O256" s="681">
        <v>45651</v>
      </c>
      <c r="P256" s="678">
        <f t="shared" si="43"/>
        <v>8011.920845001443</v>
      </c>
      <c r="Q256" s="678"/>
      <c r="R256" s="678">
        <f t="shared" si="46"/>
        <v>0.95484536097962391</v>
      </c>
      <c r="S256" s="678"/>
      <c r="T256" s="680">
        <f t="shared" si="42"/>
        <v>8012.8756903624226</v>
      </c>
    </row>
    <row r="257" spans="1:20">
      <c r="A257" s="681">
        <v>45652</v>
      </c>
      <c r="B257" s="678">
        <f t="shared" si="38"/>
        <v>606694.55915263656</v>
      </c>
      <c r="C257" s="678"/>
      <c r="D257" s="678">
        <f t="shared" si="45"/>
        <v>72.304694035999148</v>
      </c>
      <c r="E257" s="678"/>
      <c r="F257" s="678">
        <f t="shared" si="39"/>
        <v>606766.86384667258</v>
      </c>
      <c r="H257" s="681">
        <v>45652</v>
      </c>
      <c r="I257" s="678">
        <f t="shared" si="40"/>
        <v>1561411.1382887827</v>
      </c>
      <c r="J257" s="678"/>
      <c r="K257" s="678">
        <f t="shared" si="44"/>
        <v>186.08598497414258</v>
      </c>
      <c r="L257" s="678"/>
      <c r="M257" s="678">
        <f t="shared" si="41"/>
        <v>1561597.2242737568</v>
      </c>
      <c r="O257" s="681">
        <v>45652</v>
      </c>
      <c r="P257" s="678">
        <f t="shared" si="43"/>
        <v>8012.8756903624226</v>
      </c>
      <c r="Q257" s="678"/>
      <c r="R257" s="678">
        <f t="shared" si="46"/>
        <v>0.95495915761853523</v>
      </c>
      <c r="S257" s="678"/>
      <c r="T257" s="680">
        <f t="shared" si="42"/>
        <v>8013.8306495200413</v>
      </c>
    </row>
    <row r="258" spans="1:20">
      <c r="A258" s="682">
        <v>45653</v>
      </c>
      <c r="B258" s="678">
        <f t="shared" si="38"/>
        <v>606766.86384667258</v>
      </c>
      <c r="C258" s="678"/>
      <c r="D258" s="678">
        <f t="shared" si="45"/>
        <v>72.313311170767818</v>
      </c>
      <c r="E258" s="678"/>
      <c r="F258" s="678">
        <f t="shared" si="39"/>
        <v>606839.17715784337</v>
      </c>
      <c r="H258" s="682">
        <v>45653</v>
      </c>
      <c r="I258" s="678">
        <f t="shared" si="40"/>
        <v>1561597.2242737568</v>
      </c>
      <c r="J258" s="678"/>
      <c r="K258" s="678">
        <f t="shared" si="44"/>
        <v>186.10816234495456</v>
      </c>
      <c r="L258" s="678"/>
      <c r="M258" s="678">
        <f t="shared" si="41"/>
        <v>1561783.3324361017</v>
      </c>
      <c r="O258" s="682">
        <v>45653</v>
      </c>
      <c r="P258" s="678">
        <f t="shared" si="43"/>
        <v>8013.8306495200413</v>
      </c>
      <c r="Q258" s="678"/>
      <c r="R258" s="678">
        <f t="shared" si="46"/>
        <v>0.95507296781951179</v>
      </c>
      <c r="S258" s="678"/>
      <c r="T258" s="680">
        <f t="shared" si="42"/>
        <v>8014.7857224878608</v>
      </c>
    </row>
    <row r="259" spans="1:20">
      <c r="A259" s="681">
        <v>45654</v>
      </c>
      <c r="B259" s="678">
        <f t="shared" si="38"/>
        <v>606839.17715784337</v>
      </c>
      <c r="C259" s="678"/>
      <c r="D259" s="678">
        <f t="shared" si="45"/>
        <v>72.321929332510095</v>
      </c>
      <c r="E259" s="678"/>
      <c r="F259" s="678">
        <f t="shared" si="39"/>
        <v>606911.49908717594</v>
      </c>
      <c r="H259" s="681">
        <v>45654</v>
      </c>
      <c r="I259" s="678">
        <f t="shared" si="40"/>
        <v>1561783.3324361017</v>
      </c>
      <c r="J259" s="678"/>
      <c r="K259" s="678">
        <f t="shared" si="44"/>
        <v>186.13034235882307</v>
      </c>
      <c r="L259" s="678"/>
      <c r="M259" s="678">
        <f t="shared" si="41"/>
        <v>1561969.4627784605</v>
      </c>
      <c r="O259" s="681">
        <v>45654</v>
      </c>
      <c r="P259" s="678">
        <f t="shared" si="43"/>
        <v>8014.7857224878608</v>
      </c>
      <c r="Q259" s="678"/>
      <c r="R259" s="678">
        <f t="shared" si="46"/>
        <v>0.95518679158416964</v>
      </c>
      <c r="S259" s="678"/>
      <c r="T259" s="680">
        <f t="shared" si="42"/>
        <v>8015.7409092794451</v>
      </c>
    </row>
    <row r="260" spans="1:20">
      <c r="A260" s="681">
        <v>45655</v>
      </c>
      <c r="B260" s="678">
        <f t="shared" si="38"/>
        <v>606911.49908717594</v>
      </c>
      <c r="C260" s="678"/>
      <c r="D260" s="678">
        <f t="shared" si="45"/>
        <v>72.330548521348362</v>
      </c>
      <c r="E260" s="678"/>
      <c r="F260" s="678">
        <f t="shared" si="39"/>
        <v>606983.8296356973</v>
      </c>
      <c r="H260" s="681">
        <v>45655</v>
      </c>
      <c r="I260" s="678">
        <f t="shared" si="40"/>
        <v>1561969.4627784605</v>
      </c>
      <c r="J260" s="678"/>
      <c r="K260" s="678">
        <f t="shared" si="44"/>
        <v>186.15252501606309</v>
      </c>
      <c r="L260" s="678"/>
      <c r="M260" s="678">
        <f t="shared" si="41"/>
        <v>1562155.6153034766</v>
      </c>
      <c r="O260" s="681">
        <v>45655</v>
      </c>
      <c r="P260" s="678">
        <f t="shared" si="43"/>
        <v>8015.7409092794451</v>
      </c>
      <c r="Q260" s="678"/>
      <c r="R260" s="678">
        <f t="shared" si="46"/>
        <v>0.95530062891412548</v>
      </c>
      <c r="S260" s="678"/>
      <c r="T260" s="680">
        <f t="shared" si="42"/>
        <v>8016.6962099083594</v>
      </c>
    </row>
    <row r="261" spans="1:20">
      <c r="A261" s="682">
        <v>45656</v>
      </c>
      <c r="B261" s="678">
        <f t="shared" si="38"/>
        <v>606983.8296356973</v>
      </c>
      <c r="C261" s="678"/>
      <c r="D261" s="678">
        <f t="shared" si="45"/>
        <v>72.339168737405018</v>
      </c>
      <c r="E261" s="678"/>
      <c r="F261" s="678">
        <f t="shared" si="39"/>
        <v>607056.16880443471</v>
      </c>
      <c r="H261" s="682">
        <v>45656</v>
      </c>
      <c r="I261" s="678">
        <f t="shared" si="40"/>
        <v>1562155.6153034766</v>
      </c>
      <c r="J261" s="678"/>
      <c r="K261" s="678">
        <f t="shared" si="44"/>
        <v>186.17471031698966</v>
      </c>
      <c r="L261" s="678"/>
      <c r="M261" s="678">
        <f t="shared" si="41"/>
        <v>1562341.7900137936</v>
      </c>
      <c r="O261" s="682">
        <v>45656</v>
      </c>
      <c r="P261" s="678">
        <f t="shared" si="43"/>
        <v>8016.6962099083594</v>
      </c>
      <c r="Q261" s="678"/>
      <c r="R261" s="678">
        <f t="shared" si="46"/>
        <v>0.95541447981099614</v>
      </c>
      <c r="S261" s="678"/>
      <c r="T261" s="680">
        <f t="shared" si="42"/>
        <v>8017.6516243881706</v>
      </c>
    </row>
    <row r="262" spans="1:20">
      <c r="A262" s="681">
        <v>45657</v>
      </c>
      <c r="B262" s="678">
        <f t="shared" si="38"/>
        <v>607056.16880443471</v>
      </c>
      <c r="C262" s="678"/>
      <c r="D262" s="678">
        <f t="shared" si="45"/>
        <v>72.347789980802489</v>
      </c>
      <c r="E262" s="678">
        <f>+$E$109</f>
        <v>81000.5</v>
      </c>
      <c r="F262" s="678">
        <f t="shared" si="39"/>
        <v>526128.01659441553</v>
      </c>
      <c r="H262" s="681">
        <v>45657</v>
      </c>
      <c r="I262" s="678">
        <f t="shared" si="40"/>
        <v>1562341.7900137936</v>
      </c>
      <c r="J262" s="678"/>
      <c r="K262" s="678">
        <f t="shared" si="44"/>
        <v>186.19689826191785</v>
      </c>
      <c r="L262" s="678"/>
      <c r="M262" s="678">
        <f t="shared" si="41"/>
        <v>1562527.9869120556</v>
      </c>
      <c r="O262" s="681">
        <v>45657</v>
      </c>
      <c r="P262" s="678">
        <f t="shared" si="43"/>
        <v>8017.6516243881706</v>
      </c>
      <c r="Q262" s="678"/>
      <c r="R262" s="678">
        <f t="shared" si="46"/>
        <v>0.95552834427639832</v>
      </c>
      <c r="S262" s="678"/>
      <c r="T262" s="680">
        <f t="shared" si="42"/>
        <v>8018.6071527324466</v>
      </c>
    </row>
    <row r="263" spans="1:20">
      <c r="A263" s="681">
        <v>45658</v>
      </c>
      <c r="B263" s="678">
        <f t="shared" si="38"/>
        <v>526128.01659441553</v>
      </c>
      <c r="C263" s="678"/>
      <c r="D263" s="678">
        <f t="shared" si="45"/>
        <v>62.702928005087877</v>
      </c>
      <c r="E263" s="678"/>
      <c r="F263" s="678">
        <f t="shared" si="39"/>
        <v>526190.71952242067</v>
      </c>
      <c r="H263" s="681">
        <v>45658</v>
      </c>
      <c r="I263" s="678">
        <f t="shared" si="40"/>
        <v>1562527.9869120556</v>
      </c>
      <c r="J263" s="678"/>
      <c r="K263" s="678">
        <f t="shared" si="44"/>
        <v>186.21908885116278</v>
      </c>
      <c r="L263" s="678"/>
      <c r="M263" s="678">
        <f t="shared" si="41"/>
        <v>1562714.2060009069</v>
      </c>
      <c r="O263" s="681">
        <v>45658</v>
      </c>
      <c r="P263" s="678">
        <f t="shared" si="43"/>
        <v>8018.6071527324466</v>
      </c>
      <c r="Q263" s="678"/>
      <c r="R263" s="678">
        <f t="shared" si="46"/>
        <v>0.95564222231194895</v>
      </c>
      <c r="S263" s="678"/>
      <c r="T263" s="680">
        <f t="shared" si="42"/>
        <v>8019.5627949547588</v>
      </c>
    </row>
    <row r="264" spans="1:20">
      <c r="A264" s="682">
        <v>45659</v>
      </c>
      <c r="B264" s="678">
        <f t="shared" si="38"/>
        <v>526190.71952242067</v>
      </c>
      <c r="C264" s="678"/>
      <c r="D264" s="678">
        <f t="shared" si="45"/>
        <v>62.710400819795339</v>
      </c>
      <c r="E264" s="678"/>
      <c r="F264" s="678">
        <f t="shared" si="39"/>
        <v>526253.42992324044</v>
      </c>
      <c r="H264" s="682">
        <v>45659</v>
      </c>
      <c r="I264" s="678">
        <f t="shared" si="40"/>
        <v>1562714.2060009069</v>
      </c>
      <c r="J264" s="678"/>
      <c r="K264" s="678">
        <f t="shared" si="44"/>
        <v>186.24128208503956</v>
      </c>
      <c r="L264" s="678"/>
      <c r="M264" s="678">
        <f t="shared" si="41"/>
        <v>1562900.4472829918</v>
      </c>
      <c r="O264" s="682">
        <v>45659</v>
      </c>
      <c r="P264" s="678">
        <f t="shared" si="43"/>
        <v>8019.5627949547588</v>
      </c>
      <c r="Q264" s="678"/>
      <c r="R264" s="678">
        <f t="shared" si="46"/>
        <v>0.95575611391926574</v>
      </c>
      <c r="S264" s="678"/>
      <c r="T264" s="680">
        <f t="shared" si="42"/>
        <v>8020.5185510686779</v>
      </c>
    </row>
    <row r="265" spans="1:20">
      <c r="A265" s="681">
        <v>45660</v>
      </c>
      <c r="B265" s="678">
        <f t="shared" ref="B265:B328" si="47">+F264</f>
        <v>526253.42992324044</v>
      </c>
      <c r="C265" s="678"/>
      <c r="D265" s="678">
        <f t="shared" si="45"/>
        <v>62.717874525098516</v>
      </c>
      <c r="E265" s="678"/>
      <c r="F265" s="678">
        <f t="shared" ref="F265:F328" si="48">+B265+C265+D265-E265</f>
        <v>526316.14779776556</v>
      </c>
      <c r="H265" s="681">
        <v>45660</v>
      </c>
      <c r="I265" s="678">
        <f t="shared" ref="I265:I328" si="49">+M264</f>
        <v>1562900.4472829918</v>
      </c>
      <c r="J265" s="678"/>
      <c r="K265" s="678">
        <f t="shared" si="44"/>
        <v>186.26347796386338</v>
      </c>
      <c r="L265" s="678"/>
      <c r="M265" s="678">
        <f t="shared" ref="M265:M328" si="50">+I265+J265+K265-L265</f>
        <v>1563086.7107609557</v>
      </c>
      <c r="O265" s="681">
        <v>45660</v>
      </c>
      <c r="P265" s="678">
        <f t="shared" si="43"/>
        <v>8020.5185510686779</v>
      </c>
      <c r="Q265" s="678"/>
      <c r="R265" s="678">
        <f t="shared" si="46"/>
        <v>0.95587001909996561</v>
      </c>
      <c r="S265" s="678"/>
      <c r="T265" s="680">
        <f t="shared" si="42"/>
        <v>8021.474421087778</v>
      </c>
    </row>
    <row r="266" spans="1:20">
      <c r="A266" s="681">
        <v>45661</v>
      </c>
      <c r="B266" s="678">
        <f t="shared" si="47"/>
        <v>526316.14779776556</v>
      </c>
      <c r="C266" s="678"/>
      <c r="D266" s="678">
        <f t="shared" si="45"/>
        <v>62.725349121103562</v>
      </c>
      <c r="E266" s="678"/>
      <c r="F266" s="678">
        <f t="shared" si="48"/>
        <v>526378.8731468867</v>
      </c>
      <c r="H266" s="681">
        <v>45661</v>
      </c>
      <c r="I266" s="678">
        <f t="shared" si="49"/>
        <v>1563086.7107609557</v>
      </c>
      <c r="J266" s="678"/>
      <c r="K266" s="678">
        <f t="shared" si="44"/>
        <v>186.2856764879495</v>
      </c>
      <c r="L266" s="678"/>
      <c r="M266" s="678">
        <f t="shared" si="50"/>
        <v>1563272.9964374437</v>
      </c>
      <c r="O266" s="681">
        <v>45661</v>
      </c>
      <c r="P266" s="678">
        <f t="shared" si="43"/>
        <v>8021.474421087778</v>
      </c>
      <c r="Q266" s="678"/>
      <c r="R266" s="678">
        <f t="shared" si="46"/>
        <v>0.9559839378556666</v>
      </c>
      <c r="S266" s="678"/>
      <c r="T266" s="680">
        <f t="shared" si="42"/>
        <v>8022.4304050256333</v>
      </c>
    </row>
    <row r="267" spans="1:20">
      <c r="A267" s="682">
        <v>45662</v>
      </c>
      <c r="B267" s="678">
        <f t="shared" si="47"/>
        <v>526378.8731468867</v>
      </c>
      <c r="C267" s="678"/>
      <c r="D267" s="678">
        <f t="shared" si="45"/>
        <v>62.732824607916633</v>
      </c>
      <c r="E267" s="678"/>
      <c r="F267" s="678">
        <f t="shared" si="48"/>
        <v>526441.60597149457</v>
      </c>
      <c r="H267" s="682">
        <v>45662</v>
      </c>
      <c r="I267" s="678">
        <f t="shared" si="49"/>
        <v>1563272.9964374437</v>
      </c>
      <c r="J267" s="678"/>
      <c r="K267" s="678">
        <f t="shared" si="44"/>
        <v>186.30787765761312</v>
      </c>
      <c r="L267" s="678"/>
      <c r="M267" s="678">
        <f t="shared" si="50"/>
        <v>1563459.3043151014</v>
      </c>
      <c r="O267" s="682">
        <v>45662</v>
      </c>
      <c r="P267" s="678">
        <f t="shared" si="43"/>
        <v>8022.4304050256333</v>
      </c>
      <c r="Q267" s="678"/>
      <c r="R267" s="678">
        <f t="shared" si="46"/>
        <v>0.95609787018798631</v>
      </c>
      <c r="S267" s="678">
        <f>+P267/6</f>
        <v>1337.071734170939</v>
      </c>
      <c r="T267" s="680">
        <f t="shared" si="42"/>
        <v>6686.3147687248829</v>
      </c>
    </row>
    <row r="268" spans="1:20">
      <c r="A268" s="681">
        <v>45663</v>
      </c>
      <c r="B268" s="678">
        <f t="shared" si="47"/>
        <v>526441.60597149457</v>
      </c>
      <c r="C268" s="678"/>
      <c r="D268" s="678">
        <f t="shared" si="45"/>
        <v>62.74030098564387</v>
      </c>
      <c r="E268" s="678"/>
      <c r="F268" s="678">
        <f t="shared" si="48"/>
        <v>526504.34627248021</v>
      </c>
      <c r="H268" s="681">
        <v>45663</v>
      </c>
      <c r="I268" s="678">
        <f t="shared" si="49"/>
        <v>1563459.3043151014</v>
      </c>
      <c r="J268" s="678"/>
      <c r="K268" s="678">
        <f t="shared" si="44"/>
        <v>186.3300814731696</v>
      </c>
      <c r="L268" s="678"/>
      <c r="M268" s="678">
        <f t="shared" si="50"/>
        <v>1563645.6343965745</v>
      </c>
      <c r="O268" s="681">
        <v>45663</v>
      </c>
      <c r="P268" s="678">
        <f t="shared" si="43"/>
        <v>6686.3147687248829</v>
      </c>
      <c r="Q268" s="678"/>
      <c r="R268" s="678">
        <f t="shared" si="46"/>
        <v>0.79686217106721213</v>
      </c>
      <c r="S268" s="678"/>
      <c r="T268" s="680">
        <f t="shared" si="42"/>
        <v>6687.1116308959499</v>
      </c>
    </row>
    <row r="269" spans="1:20">
      <c r="A269" s="681">
        <v>45664</v>
      </c>
      <c r="B269" s="678">
        <f t="shared" si="47"/>
        <v>526504.34627248021</v>
      </c>
      <c r="C269" s="678"/>
      <c r="D269" s="678">
        <f t="shared" si="45"/>
        <v>62.747778254391477</v>
      </c>
      <c r="E269" s="678"/>
      <c r="F269" s="678">
        <f t="shared" si="48"/>
        <v>526567.09405073465</v>
      </c>
      <c r="H269" s="681">
        <v>45664</v>
      </c>
      <c r="I269" s="678">
        <f t="shared" si="49"/>
        <v>1563645.6343965745</v>
      </c>
      <c r="J269" s="678"/>
      <c r="K269" s="678">
        <f t="shared" si="44"/>
        <v>186.3522879349342</v>
      </c>
      <c r="L269" s="678"/>
      <c r="M269" s="678">
        <f t="shared" si="50"/>
        <v>1563831.9866845093</v>
      </c>
      <c r="O269" s="681">
        <v>45664</v>
      </c>
      <c r="P269" s="678">
        <f t="shared" si="43"/>
        <v>6687.1116308959499</v>
      </c>
      <c r="Q269" s="678"/>
      <c r="R269" s="678">
        <f t="shared" si="46"/>
        <v>0.79695713957253089</v>
      </c>
      <c r="S269" s="678"/>
      <c r="T269" s="680">
        <f t="shared" si="42"/>
        <v>6687.9085880355224</v>
      </c>
    </row>
    <row r="270" spans="1:20">
      <c r="A270" s="682">
        <v>45665</v>
      </c>
      <c r="B270" s="678">
        <f t="shared" si="47"/>
        <v>526567.09405073465</v>
      </c>
      <c r="C270" s="678"/>
      <c r="D270" s="678">
        <f t="shared" si="45"/>
        <v>62.755256414265631</v>
      </c>
      <c r="E270" s="678"/>
      <c r="F270" s="678">
        <f t="shared" si="48"/>
        <v>526629.84930714895</v>
      </c>
      <c r="H270" s="682">
        <v>45665</v>
      </c>
      <c r="I270" s="678">
        <f t="shared" si="49"/>
        <v>1563831.9866845093</v>
      </c>
      <c r="J270" s="678"/>
      <c r="K270" s="678">
        <f t="shared" si="44"/>
        <v>186.37449704322231</v>
      </c>
      <c r="L270" s="678"/>
      <c r="M270" s="678">
        <f t="shared" si="50"/>
        <v>1564018.3611815525</v>
      </c>
      <c r="O270" s="682">
        <v>45665</v>
      </c>
      <c r="P270" s="678">
        <f t="shared" si="43"/>
        <v>6687.9085880355224</v>
      </c>
      <c r="Q270" s="678"/>
      <c r="R270" s="678">
        <f t="shared" si="46"/>
        <v>0.79705211939601417</v>
      </c>
      <c r="S270" s="678"/>
      <c r="T270" s="680">
        <f t="shared" ref="T270:T284" si="51">+P270+Q270+R270-S270</f>
        <v>6688.705640154918</v>
      </c>
    </row>
    <row r="271" spans="1:20">
      <c r="A271" s="681">
        <v>45666</v>
      </c>
      <c r="B271" s="678">
        <f t="shared" si="47"/>
        <v>526629.84930714895</v>
      </c>
      <c r="C271" s="678"/>
      <c r="D271" s="678">
        <f t="shared" si="45"/>
        <v>62.762735465372543</v>
      </c>
      <c r="E271" s="678"/>
      <c r="F271" s="678">
        <f t="shared" si="48"/>
        <v>526692.61204261438</v>
      </c>
      <c r="H271" s="681">
        <v>45666</v>
      </c>
      <c r="I271" s="678">
        <f t="shared" si="49"/>
        <v>1564018.3611815525</v>
      </c>
      <c r="J271" s="678"/>
      <c r="K271" s="678">
        <f t="shared" si="44"/>
        <v>186.39670879834938</v>
      </c>
      <c r="L271" s="678"/>
      <c r="M271" s="678">
        <f t="shared" si="50"/>
        <v>1564204.7578903509</v>
      </c>
      <c r="O271" s="681">
        <v>45666</v>
      </c>
      <c r="P271" s="678">
        <f t="shared" ref="P271:P284" si="52">+T270</f>
        <v>6688.705640154918</v>
      </c>
      <c r="Q271" s="678"/>
      <c r="R271" s="678">
        <f t="shared" si="46"/>
        <v>0.79714711053901077</v>
      </c>
      <c r="S271" s="678"/>
      <c r="T271" s="680">
        <f t="shared" si="51"/>
        <v>6689.5027872654573</v>
      </c>
    </row>
    <row r="272" spans="1:20">
      <c r="A272" s="681">
        <v>45667</v>
      </c>
      <c r="B272" s="678">
        <f t="shared" si="47"/>
        <v>526692.61204261438</v>
      </c>
      <c r="C272" s="678"/>
      <c r="D272" s="678">
        <f t="shared" si="45"/>
        <v>62.770215407818426</v>
      </c>
      <c r="E272" s="678"/>
      <c r="F272" s="678">
        <f t="shared" si="48"/>
        <v>526755.3822580222</v>
      </c>
      <c r="H272" s="681">
        <v>45667</v>
      </c>
      <c r="I272" s="678">
        <f t="shared" si="49"/>
        <v>1564204.7578903509</v>
      </c>
      <c r="J272" s="678"/>
      <c r="K272" s="678">
        <f t="shared" si="44"/>
        <v>186.41892320063087</v>
      </c>
      <c r="L272" s="678"/>
      <c r="M272" s="678">
        <f t="shared" si="50"/>
        <v>1564391.1768135515</v>
      </c>
      <c r="O272" s="681">
        <v>45667</v>
      </c>
      <c r="P272" s="678">
        <f t="shared" si="52"/>
        <v>6689.5027872654573</v>
      </c>
      <c r="Q272" s="678"/>
      <c r="R272" s="678">
        <f t="shared" si="46"/>
        <v>0.79724211300286951</v>
      </c>
      <c r="S272" s="678"/>
      <c r="T272" s="680">
        <f t="shared" si="51"/>
        <v>6690.3000293784598</v>
      </c>
    </row>
    <row r="273" spans="1:20">
      <c r="A273" s="682">
        <v>45668</v>
      </c>
      <c r="B273" s="678">
        <f t="shared" si="47"/>
        <v>526755.3822580222</v>
      </c>
      <c r="C273" s="678"/>
      <c r="D273" s="678">
        <f t="shared" si="45"/>
        <v>62.777696241709492</v>
      </c>
      <c r="E273" s="678"/>
      <c r="F273" s="678">
        <f t="shared" si="48"/>
        <v>526818.15995426395</v>
      </c>
      <c r="H273" s="682">
        <v>45668</v>
      </c>
      <c r="I273" s="678">
        <f t="shared" si="49"/>
        <v>1564391.1768135515</v>
      </c>
      <c r="J273" s="678"/>
      <c r="K273" s="678">
        <f t="shared" si="44"/>
        <v>186.44114025038215</v>
      </c>
      <c r="L273" s="678"/>
      <c r="M273" s="678">
        <f t="shared" si="50"/>
        <v>1564577.6179538018</v>
      </c>
      <c r="O273" s="682">
        <v>45668</v>
      </c>
      <c r="P273" s="678">
        <f t="shared" si="52"/>
        <v>6690.3000293784598</v>
      </c>
      <c r="Q273" s="678"/>
      <c r="R273" s="678">
        <f t="shared" si="46"/>
        <v>0.79733712678893964</v>
      </c>
      <c r="S273" s="678"/>
      <c r="T273" s="680">
        <f t="shared" si="51"/>
        <v>6691.0973665052488</v>
      </c>
    </row>
    <row r="274" spans="1:20">
      <c r="A274" s="681">
        <v>45669</v>
      </c>
      <c r="B274" s="678">
        <f t="shared" si="47"/>
        <v>526818.15995426395</v>
      </c>
      <c r="C274" s="678"/>
      <c r="D274" s="678">
        <f t="shared" si="45"/>
        <v>62.785177967152002</v>
      </c>
      <c r="E274" s="678"/>
      <c r="F274" s="678">
        <f t="shared" si="48"/>
        <v>526880.94513223111</v>
      </c>
      <c r="H274" s="681">
        <v>45669</v>
      </c>
      <c r="I274" s="678">
        <f t="shared" si="49"/>
        <v>1564577.6179538018</v>
      </c>
      <c r="J274" s="678"/>
      <c r="K274" s="678">
        <f t="shared" ref="K274:K337" si="53">SUM(I274*$K$1)/365</f>
        <v>186.46335994791883</v>
      </c>
      <c r="L274" s="678"/>
      <c r="M274" s="678">
        <f t="shared" si="50"/>
        <v>1564764.0813137498</v>
      </c>
      <c r="O274" s="681">
        <v>45669</v>
      </c>
      <c r="P274" s="678">
        <f t="shared" si="52"/>
        <v>6691.0973665052488</v>
      </c>
      <c r="Q274" s="678"/>
      <c r="R274" s="678">
        <f t="shared" si="46"/>
        <v>0.79743215189857064</v>
      </c>
      <c r="S274" s="678"/>
      <c r="T274" s="680">
        <f t="shared" si="51"/>
        <v>6691.8947986571475</v>
      </c>
    </row>
    <row r="275" spans="1:20">
      <c r="A275" s="681">
        <v>45670</v>
      </c>
      <c r="B275" s="678">
        <f t="shared" si="47"/>
        <v>526880.94513223111</v>
      </c>
      <c r="C275" s="678"/>
      <c r="D275" s="678">
        <f t="shared" ref="D275:D338" si="54">SUM(B275*$K$1)/365</f>
        <v>62.792660584252197</v>
      </c>
      <c r="E275" s="678"/>
      <c r="F275" s="678">
        <f t="shared" si="48"/>
        <v>526943.73779281531</v>
      </c>
      <c r="H275" s="681">
        <v>45670</v>
      </c>
      <c r="I275" s="678">
        <f t="shared" si="49"/>
        <v>1564764.0813137498</v>
      </c>
      <c r="J275" s="678"/>
      <c r="K275" s="678">
        <f t="shared" si="53"/>
        <v>186.48558229355649</v>
      </c>
      <c r="L275" s="678"/>
      <c r="M275" s="678">
        <f t="shared" si="50"/>
        <v>1564950.5668960433</v>
      </c>
      <c r="O275" s="681">
        <v>45670</v>
      </c>
      <c r="P275" s="678">
        <f t="shared" si="52"/>
        <v>6691.8947986571475</v>
      </c>
      <c r="Q275" s="678"/>
      <c r="R275" s="678">
        <f t="shared" si="46"/>
        <v>0.79752718833311198</v>
      </c>
      <c r="S275" s="678"/>
      <c r="T275" s="680">
        <f t="shared" si="51"/>
        <v>6692.6923258454808</v>
      </c>
    </row>
    <row r="276" spans="1:20">
      <c r="A276" s="682">
        <v>45671</v>
      </c>
      <c r="B276" s="678">
        <f t="shared" si="47"/>
        <v>526943.73779281531</v>
      </c>
      <c r="C276" s="678"/>
      <c r="D276" s="678">
        <f t="shared" si="54"/>
        <v>62.800144093116337</v>
      </c>
      <c r="E276" s="678"/>
      <c r="F276" s="678">
        <f t="shared" si="48"/>
        <v>527006.53793690843</v>
      </c>
      <c r="H276" s="682">
        <v>45671</v>
      </c>
      <c r="I276" s="678">
        <f t="shared" si="49"/>
        <v>1564950.5668960433</v>
      </c>
      <c r="J276" s="678"/>
      <c r="K276" s="678">
        <f t="shared" si="53"/>
        <v>186.5078072876106</v>
      </c>
      <c r="L276" s="678"/>
      <c r="M276" s="678">
        <f t="shared" si="50"/>
        <v>1565137.0747033309</v>
      </c>
      <c r="O276" s="682">
        <v>45671</v>
      </c>
      <c r="P276" s="678">
        <f t="shared" si="52"/>
        <v>6692.6923258454808</v>
      </c>
      <c r="Q276" s="678"/>
      <c r="R276" s="678">
        <f t="shared" si="46"/>
        <v>0.79762223609391336</v>
      </c>
      <c r="S276" s="678"/>
      <c r="T276" s="680">
        <f t="shared" si="51"/>
        <v>6693.4899480815748</v>
      </c>
    </row>
    <row r="277" spans="1:20">
      <c r="A277" s="681">
        <v>45672</v>
      </c>
      <c r="B277" s="678">
        <f t="shared" si="47"/>
        <v>527006.53793690843</v>
      </c>
      <c r="C277" s="678">
        <f>SUM($D$451+$D$452+$D$453)/12</f>
        <v>73029.166666666672</v>
      </c>
      <c r="D277" s="678">
        <f t="shared" si="54"/>
        <v>62.807628493850721</v>
      </c>
      <c r="E277" s="678"/>
      <c r="F277" s="678">
        <f t="shared" si="48"/>
        <v>600098.51223206893</v>
      </c>
      <c r="H277" s="681">
        <v>45672</v>
      </c>
      <c r="I277" s="678">
        <f t="shared" si="49"/>
        <v>1565137.0747033309</v>
      </c>
      <c r="J277" s="678"/>
      <c r="K277" s="678">
        <f t="shared" si="53"/>
        <v>186.53003493039697</v>
      </c>
      <c r="L277" s="678"/>
      <c r="M277" s="678">
        <f t="shared" si="50"/>
        <v>1565323.6047382613</v>
      </c>
      <c r="O277" s="681">
        <v>45672</v>
      </c>
      <c r="P277" s="678">
        <f t="shared" si="52"/>
        <v>6693.4899480815748</v>
      </c>
      <c r="Q277" s="678"/>
      <c r="R277" s="678">
        <f t="shared" ref="R277:R340" si="55">SUM(P277*$K$1)/365</f>
        <v>0.79771729518232459</v>
      </c>
      <c r="S277" s="678"/>
      <c r="T277" s="680">
        <f t="shared" si="51"/>
        <v>6694.2876653767571</v>
      </c>
    </row>
    <row r="278" spans="1:20">
      <c r="A278" s="681">
        <v>45673</v>
      </c>
      <c r="B278" s="678">
        <f t="shared" si="47"/>
        <v>600098.51223206893</v>
      </c>
      <c r="C278" s="678"/>
      <c r="D278" s="678">
        <f t="shared" si="54"/>
        <v>71.518589813958897</v>
      </c>
      <c r="E278" s="678"/>
      <c r="F278" s="678">
        <f t="shared" si="48"/>
        <v>600170.03082188289</v>
      </c>
      <c r="H278" s="681">
        <v>45673</v>
      </c>
      <c r="I278" s="678">
        <f t="shared" si="49"/>
        <v>1565323.6047382613</v>
      </c>
      <c r="J278" s="678"/>
      <c r="K278" s="678">
        <f t="shared" si="53"/>
        <v>186.55226522223111</v>
      </c>
      <c r="L278" s="678"/>
      <c r="M278" s="678">
        <f t="shared" si="50"/>
        <v>1565510.1570034835</v>
      </c>
      <c r="O278" s="681">
        <v>45673</v>
      </c>
      <c r="P278" s="678">
        <f t="shared" si="52"/>
        <v>6694.2876653767571</v>
      </c>
      <c r="Q278" s="678"/>
      <c r="R278" s="678">
        <f t="shared" si="55"/>
        <v>0.79781236559969571</v>
      </c>
      <c r="S278" s="678"/>
      <c r="T278" s="680">
        <f t="shared" si="51"/>
        <v>6695.0854777423565</v>
      </c>
    </row>
    <row r="279" spans="1:20">
      <c r="A279" s="682">
        <v>45674</v>
      </c>
      <c r="B279" s="678">
        <f t="shared" si="47"/>
        <v>600170.03082188289</v>
      </c>
      <c r="C279" s="678"/>
      <c r="D279" s="678">
        <f t="shared" si="54"/>
        <v>71.527113262333984</v>
      </c>
      <c r="E279" s="678"/>
      <c r="F279" s="678">
        <f t="shared" si="48"/>
        <v>600241.55793514522</v>
      </c>
      <c r="H279" s="682">
        <v>45674</v>
      </c>
      <c r="I279" s="678">
        <f t="shared" si="49"/>
        <v>1565510.1570034835</v>
      </c>
      <c r="J279" s="678"/>
      <c r="K279" s="678">
        <f t="shared" si="53"/>
        <v>186.57449816342881</v>
      </c>
      <c r="L279" s="678"/>
      <c r="M279" s="678">
        <f t="shared" si="50"/>
        <v>1565696.731501647</v>
      </c>
      <c r="O279" s="682">
        <v>45674</v>
      </c>
      <c r="P279" s="678">
        <f t="shared" si="52"/>
        <v>6695.0854777423565</v>
      </c>
      <c r="Q279" s="678"/>
      <c r="R279" s="678">
        <f t="shared" si="55"/>
        <v>0.79790744734737673</v>
      </c>
      <c r="S279" s="678"/>
      <c r="T279" s="680">
        <f t="shared" si="51"/>
        <v>6695.8833851897043</v>
      </c>
    </row>
    <row r="280" spans="1:20">
      <c r="A280" s="681">
        <v>45675</v>
      </c>
      <c r="B280" s="678">
        <f t="shared" si="47"/>
        <v>600241.55793514522</v>
      </c>
      <c r="C280" s="678"/>
      <c r="D280" s="678">
        <f t="shared" si="54"/>
        <v>71.535637726517294</v>
      </c>
      <c r="E280" s="678"/>
      <c r="F280" s="678">
        <f t="shared" si="48"/>
        <v>600313.09357287176</v>
      </c>
      <c r="H280" s="681">
        <v>45675</v>
      </c>
      <c r="I280" s="678">
        <f t="shared" si="49"/>
        <v>1565696.731501647</v>
      </c>
      <c r="J280" s="678"/>
      <c r="K280" s="678">
        <f t="shared" si="53"/>
        <v>186.59673375430586</v>
      </c>
      <c r="L280" s="678"/>
      <c r="M280" s="678">
        <f t="shared" si="50"/>
        <v>1565883.3282354013</v>
      </c>
      <c r="O280" s="681">
        <v>45675</v>
      </c>
      <c r="P280" s="678">
        <f t="shared" si="52"/>
        <v>6695.8833851897043</v>
      </c>
      <c r="Q280" s="678"/>
      <c r="R280" s="678">
        <f t="shared" si="55"/>
        <v>0.79800254042671803</v>
      </c>
      <c r="S280" s="678"/>
      <c r="T280" s="680">
        <f t="shared" si="51"/>
        <v>6696.6813877301311</v>
      </c>
    </row>
    <row r="281" spans="1:20">
      <c r="A281" s="681">
        <v>45676</v>
      </c>
      <c r="B281" s="678">
        <f t="shared" si="47"/>
        <v>600313.09357287176</v>
      </c>
      <c r="C281" s="678"/>
      <c r="D281" s="678">
        <f t="shared" si="54"/>
        <v>71.544163206629918</v>
      </c>
      <c r="E281" s="678"/>
      <c r="F281" s="678">
        <f t="shared" si="48"/>
        <v>600384.63773607835</v>
      </c>
      <c r="H281" s="681">
        <v>45676</v>
      </c>
      <c r="I281" s="678">
        <f t="shared" si="49"/>
        <v>1565883.3282354013</v>
      </c>
      <c r="J281" s="678"/>
      <c r="K281" s="678">
        <f t="shared" si="53"/>
        <v>186.61897199517793</v>
      </c>
      <c r="L281" s="678"/>
      <c r="M281" s="678">
        <f t="shared" si="50"/>
        <v>1566069.9472073964</v>
      </c>
      <c r="O281" s="681">
        <v>45676</v>
      </c>
      <c r="P281" s="678">
        <f t="shared" si="52"/>
        <v>6696.6813877301311</v>
      </c>
      <c r="Q281" s="678"/>
      <c r="R281" s="678">
        <f t="shared" si="55"/>
        <v>0.79809764483907031</v>
      </c>
      <c r="S281" s="678"/>
      <c r="T281" s="680">
        <f t="shared" si="51"/>
        <v>6697.47948537497</v>
      </c>
    </row>
    <row r="282" spans="1:20">
      <c r="A282" s="682">
        <v>45677</v>
      </c>
      <c r="B282" s="678">
        <f t="shared" si="47"/>
        <v>600384.63773607835</v>
      </c>
      <c r="C282" s="678"/>
      <c r="D282" s="678">
        <f t="shared" si="54"/>
        <v>71.55268970279289</v>
      </c>
      <c r="E282" s="678"/>
      <c r="F282" s="678">
        <f t="shared" si="48"/>
        <v>600456.19042578118</v>
      </c>
      <c r="H282" s="682">
        <v>45677</v>
      </c>
      <c r="I282" s="678">
        <f t="shared" si="49"/>
        <v>1566069.9472073964</v>
      </c>
      <c r="J282" s="678"/>
      <c r="K282" s="678">
        <f t="shared" si="53"/>
        <v>186.64121288636093</v>
      </c>
      <c r="L282" s="678"/>
      <c r="M282" s="678">
        <f t="shared" si="50"/>
        <v>1566256.5884202828</v>
      </c>
      <c r="O282" s="682">
        <v>45677</v>
      </c>
      <c r="P282" s="678">
        <f t="shared" si="52"/>
        <v>6697.47948537497</v>
      </c>
      <c r="Q282" s="678"/>
      <c r="R282" s="678">
        <f t="shared" si="55"/>
        <v>0.79819276058578414</v>
      </c>
      <c r="S282" s="678"/>
      <c r="T282" s="680">
        <f t="shared" si="51"/>
        <v>6698.277678135556</v>
      </c>
    </row>
    <row r="283" spans="1:20">
      <c r="A283" s="681">
        <v>45678</v>
      </c>
      <c r="B283" s="678">
        <f t="shared" si="47"/>
        <v>600456.19042578118</v>
      </c>
      <c r="C283" s="678"/>
      <c r="D283" s="678">
        <f t="shared" si="54"/>
        <v>71.561217215127343</v>
      </c>
      <c r="E283" s="678"/>
      <c r="F283" s="678">
        <f t="shared" si="48"/>
        <v>600527.75164299633</v>
      </c>
      <c r="H283" s="681">
        <v>45678</v>
      </c>
      <c r="I283" s="678">
        <f t="shared" si="49"/>
        <v>1566256.5884202828</v>
      </c>
      <c r="J283" s="678"/>
      <c r="K283" s="678">
        <f t="shared" si="53"/>
        <v>186.66345642817069</v>
      </c>
      <c r="L283" s="678"/>
      <c r="M283" s="678">
        <f t="shared" si="50"/>
        <v>1566443.2518767109</v>
      </c>
      <c r="O283" s="681">
        <v>45678</v>
      </c>
      <c r="P283" s="678">
        <f t="shared" si="52"/>
        <v>6698.277678135556</v>
      </c>
      <c r="Q283" s="678"/>
      <c r="R283" s="678">
        <f t="shared" si="55"/>
        <v>0.79828788766821002</v>
      </c>
      <c r="S283" s="678"/>
      <c r="T283" s="680">
        <f t="shared" si="51"/>
        <v>6699.0759660232243</v>
      </c>
    </row>
    <row r="284" spans="1:20">
      <c r="A284" s="681">
        <v>45679</v>
      </c>
      <c r="B284" s="678">
        <f t="shared" si="47"/>
        <v>600527.75164299633</v>
      </c>
      <c r="C284" s="678"/>
      <c r="D284" s="678">
        <f t="shared" si="54"/>
        <v>71.569745743754353</v>
      </c>
      <c r="E284" s="678"/>
      <c r="F284" s="678">
        <f t="shared" si="48"/>
        <v>600599.32138874009</v>
      </c>
      <c r="H284" s="681">
        <v>45679</v>
      </c>
      <c r="I284" s="678">
        <f t="shared" si="49"/>
        <v>1566443.2518767109</v>
      </c>
      <c r="J284" s="678"/>
      <c r="K284" s="678">
        <f t="shared" si="53"/>
        <v>186.68570262092308</v>
      </c>
      <c r="L284" s="678"/>
      <c r="M284" s="678">
        <f t="shared" si="50"/>
        <v>1566629.9375793319</v>
      </c>
      <c r="O284" s="681">
        <v>45679</v>
      </c>
      <c r="P284" s="678">
        <f t="shared" si="52"/>
        <v>6699.0759660232243</v>
      </c>
      <c r="Q284" s="678"/>
      <c r="R284" s="678">
        <f t="shared" si="55"/>
        <v>0.79838302608769929</v>
      </c>
      <c r="S284" s="679"/>
      <c r="T284" s="680">
        <f t="shared" si="51"/>
        <v>6699.8743490493116</v>
      </c>
    </row>
    <row r="285" spans="1:20">
      <c r="A285" s="682">
        <v>45680</v>
      </c>
      <c r="B285" s="678">
        <f t="shared" si="47"/>
        <v>600599.32138874009</v>
      </c>
      <c r="C285" s="678"/>
      <c r="D285" s="678">
        <f t="shared" si="54"/>
        <v>71.578275288795041</v>
      </c>
      <c r="E285" s="678"/>
      <c r="F285" s="678">
        <f t="shared" si="48"/>
        <v>600670.8996640289</v>
      </c>
      <c r="H285" s="682">
        <v>45680</v>
      </c>
      <c r="I285" s="678">
        <f t="shared" si="49"/>
        <v>1566629.9375793319</v>
      </c>
      <c r="J285" s="678"/>
      <c r="K285" s="678">
        <f t="shared" si="53"/>
        <v>186.70795146493407</v>
      </c>
      <c r="L285" s="678"/>
      <c r="M285" s="678">
        <f t="shared" si="50"/>
        <v>1566816.6455307968</v>
      </c>
      <c r="O285" s="682">
        <v>45680</v>
      </c>
      <c r="P285" s="678">
        <f t="shared" ref="P285:P348" si="56">+T284</f>
        <v>6699.8743490493116</v>
      </c>
      <c r="Q285" s="678"/>
      <c r="R285" s="678">
        <f t="shared" si="55"/>
        <v>0.79847817584560288</v>
      </c>
      <c r="S285" s="679"/>
      <c r="T285" s="680">
        <f t="shared" ref="T285:T348" si="57">+P285+Q285+R285-S285</f>
        <v>6700.6728272251576</v>
      </c>
    </row>
    <row r="286" spans="1:20">
      <c r="A286" s="681">
        <v>45681</v>
      </c>
      <c r="B286" s="678">
        <f t="shared" si="47"/>
        <v>600670.8996640289</v>
      </c>
      <c r="C286" s="678"/>
      <c r="D286" s="678">
        <f t="shared" si="54"/>
        <v>71.586805850370553</v>
      </c>
      <c r="E286" s="678"/>
      <c r="F286" s="678">
        <f t="shared" si="48"/>
        <v>600742.48646987928</v>
      </c>
      <c r="H286" s="681">
        <v>45681</v>
      </c>
      <c r="I286" s="678">
        <f t="shared" si="49"/>
        <v>1566816.6455307968</v>
      </c>
      <c r="J286" s="678"/>
      <c r="K286" s="678">
        <f t="shared" si="53"/>
        <v>186.73020296051962</v>
      </c>
      <c r="L286" s="678"/>
      <c r="M286" s="678">
        <f t="shared" si="50"/>
        <v>1567003.3757337574</v>
      </c>
      <c r="O286" s="681">
        <v>45681</v>
      </c>
      <c r="P286" s="678">
        <f t="shared" si="56"/>
        <v>6700.6728272251576</v>
      </c>
      <c r="Q286" s="678"/>
      <c r="R286" s="678">
        <f t="shared" si="55"/>
        <v>0.79857333694327215</v>
      </c>
      <c r="S286" s="679"/>
      <c r="T286" s="680">
        <f t="shared" si="57"/>
        <v>6701.4714005621008</v>
      </c>
    </row>
    <row r="287" spans="1:20">
      <c r="A287" s="681">
        <v>45682</v>
      </c>
      <c r="B287" s="678">
        <f t="shared" si="47"/>
        <v>600742.48646987928</v>
      </c>
      <c r="C287" s="678"/>
      <c r="D287" s="678">
        <f t="shared" si="54"/>
        <v>71.595337428602051</v>
      </c>
      <c r="E287" s="678"/>
      <c r="F287" s="678">
        <f t="shared" si="48"/>
        <v>600814.0818073079</v>
      </c>
      <c r="H287" s="681">
        <v>45682</v>
      </c>
      <c r="I287" s="678">
        <f t="shared" si="49"/>
        <v>1567003.3757337574</v>
      </c>
      <c r="J287" s="678"/>
      <c r="K287" s="678">
        <f t="shared" si="53"/>
        <v>186.75245710799572</v>
      </c>
      <c r="L287" s="678"/>
      <c r="M287" s="678">
        <f t="shared" si="50"/>
        <v>1567190.1281908653</v>
      </c>
      <c r="O287" s="681">
        <v>45682</v>
      </c>
      <c r="P287" s="678">
        <f t="shared" si="56"/>
        <v>6701.4714005621008</v>
      </c>
      <c r="Q287" s="678"/>
      <c r="R287" s="678">
        <f t="shared" si="55"/>
        <v>0.79866850938205847</v>
      </c>
      <c r="S287" s="679"/>
      <c r="T287" s="680">
        <f t="shared" si="57"/>
        <v>6702.2700690714828</v>
      </c>
    </row>
    <row r="288" spans="1:20">
      <c r="A288" s="682">
        <v>45683</v>
      </c>
      <c r="B288" s="678">
        <f t="shared" si="47"/>
        <v>600814.0818073079</v>
      </c>
      <c r="C288" s="678"/>
      <c r="D288" s="678">
        <f t="shared" si="54"/>
        <v>71.603870023610668</v>
      </c>
      <c r="E288" s="678"/>
      <c r="F288" s="678">
        <f t="shared" si="48"/>
        <v>600885.68567733152</v>
      </c>
      <c r="H288" s="682">
        <v>45683</v>
      </c>
      <c r="I288" s="678">
        <f t="shared" si="49"/>
        <v>1567190.1281908653</v>
      </c>
      <c r="J288" s="678"/>
      <c r="K288" s="678">
        <f t="shared" si="53"/>
        <v>186.77471390767843</v>
      </c>
      <c r="L288" s="678"/>
      <c r="M288" s="678">
        <f t="shared" si="50"/>
        <v>1567376.9029047729</v>
      </c>
      <c r="O288" s="682">
        <v>45683</v>
      </c>
      <c r="P288" s="678">
        <f t="shared" si="56"/>
        <v>6702.2700690714828</v>
      </c>
      <c r="Q288" s="678"/>
      <c r="R288" s="678">
        <f t="shared" si="55"/>
        <v>0.79876369316331364</v>
      </c>
      <c r="S288" s="679"/>
      <c r="T288" s="680">
        <f t="shared" si="57"/>
        <v>6703.0688327646458</v>
      </c>
    </row>
    <row r="289" spans="1:20">
      <c r="A289" s="681">
        <v>45684</v>
      </c>
      <c r="B289" s="678">
        <f t="shared" si="47"/>
        <v>600885.68567733152</v>
      </c>
      <c r="C289" s="678"/>
      <c r="D289" s="678">
        <f t="shared" si="54"/>
        <v>71.61240363551758</v>
      </c>
      <c r="E289" s="678"/>
      <c r="F289" s="678">
        <f t="shared" si="48"/>
        <v>600957.29808096704</v>
      </c>
      <c r="H289" s="681">
        <v>45684</v>
      </c>
      <c r="I289" s="678">
        <f t="shared" si="49"/>
        <v>1567376.9029047729</v>
      </c>
      <c r="J289" s="678"/>
      <c r="K289" s="678">
        <f t="shared" si="53"/>
        <v>186.79697335988391</v>
      </c>
      <c r="L289" s="678"/>
      <c r="M289" s="678">
        <f t="shared" si="50"/>
        <v>1567563.6998781327</v>
      </c>
      <c r="O289" s="681">
        <v>45684</v>
      </c>
      <c r="P289" s="678">
        <f t="shared" si="56"/>
        <v>6703.0688327646458</v>
      </c>
      <c r="Q289" s="678"/>
      <c r="R289" s="678">
        <f t="shared" si="55"/>
        <v>0.79885888828838925</v>
      </c>
      <c r="S289" s="679"/>
      <c r="T289" s="680">
        <f t="shared" si="57"/>
        <v>6703.8676916529339</v>
      </c>
    </row>
    <row r="290" spans="1:20">
      <c r="A290" s="681">
        <v>45685</v>
      </c>
      <c r="B290" s="678">
        <f t="shared" si="47"/>
        <v>600957.29808096704</v>
      </c>
      <c r="C290" s="678"/>
      <c r="D290" s="678">
        <f t="shared" si="54"/>
        <v>71.620938264444021</v>
      </c>
      <c r="E290" s="678"/>
      <c r="F290" s="678">
        <f t="shared" si="48"/>
        <v>601028.91901923146</v>
      </c>
      <c r="H290" s="681">
        <v>45685</v>
      </c>
      <c r="I290" s="678">
        <f t="shared" si="49"/>
        <v>1567563.6998781327</v>
      </c>
      <c r="J290" s="678"/>
      <c r="K290" s="678">
        <f t="shared" si="53"/>
        <v>186.81923546492814</v>
      </c>
      <c r="L290" s="678"/>
      <c r="M290" s="678">
        <f t="shared" si="50"/>
        <v>1567750.5191135977</v>
      </c>
      <c r="O290" s="681">
        <v>45685</v>
      </c>
      <c r="P290" s="678">
        <f t="shared" si="56"/>
        <v>6703.8676916529339</v>
      </c>
      <c r="Q290" s="678"/>
      <c r="R290" s="678">
        <f t="shared" si="55"/>
        <v>0.79895409475863732</v>
      </c>
      <c r="S290" s="679"/>
      <c r="T290" s="680">
        <f t="shared" si="57"/>
        <v>6704.6666457476922</v>
      </c>
    </row>
    <row r="291" spans="1:20">
      <c r="A291" s="682">
        <v>45686</v>
      </c>
      <c r="B291" s="678">
        <f t="shared" si="47"/>
        <v>601028.91901923146</v>
      </c>
      <c r="C291" s="678"/>
      <c r="D291" s="678">
        <f t="shared" si="54"/>
        <v>71.629473910511138</v>
      </c>
      <c r="E291" s="678"/>
      <c r="F291" s="678">
        <f t="shared" si="48"/>
        <v>601100.54849314201</v>
      </c>
      <c r="H291" s="682">
        <v>45686</v>
      </c>
      <c r="I291" s="678">
        <f t="shared" si="49"/>
        <v>1567750.5191135977</v>
      </c>
      <c r="J291" s="678"/>
      <c r="K291" s="678">
        <f t="shared" si="53"/>
        <v>186.84150022312735</v>
      </c>
      <c r="L291" s="678"/>
      <c r="M291" s="678">
        <f t="shared" si="50"/>
        <v>1567937.3606138208</v>
      </c>
      <c r="O291" s="682">
        <v>45686</v>
      </c>
      <c r="P291" s="678">
        <f t="shared" si="56"/>
        <v>6704.6666457476922</v>
      </c>
      <c r="Q291" s="678"/>
      <c r="R291" s="678">
        <f t="shared" si="55"/>
        <v>0.7990493125754099</v>
      </c>
      <c r="S291" s="679"/>
      <c r="T291" s="680">
        <f t="shared" si="57"/>
        <v>6705.4656950602675</v>
      </c>
    </row>
    <row r="292" spans="1:20">
      <c r="A292" s="681">
        <v>45687</v>
      </c>
      <c r="B292" s="678">
        <f t="shared" si="47"/>
        <v>601100.54849314201</v>
      </c>
      <c r="C292" s="678"/>
      <c r="D292" s="678">
        <f t="shared" si="54"/>
        <v>71.638010573840205</v>
      </c>
      <c r="E292" s="678"/>
      <c r="F292" s="678">
        <f t="shared" si="48"/>
        <v>601172.18650371581</v>
      </c>
      <c r="H292" s="681">
        <v>45687</v>
      </c>
      <c r="I292" s="678">
        <f t="shared" si="49"/>
        <v>1567937.3606138208</v>
      </c>
      <c r="J292" s="678"/>
      <c r="K292" s="678">
        <f t="shared" si="53"/>
        <v>186.8637676347978</v>
      </c>
      <c r="L292" s="678"/>
      <c r="M292" s="678">
        <f t="shared" si="50"/>
        <v>1568124.2243814557</v>
      </c>
      <c r="O292" s="681">
        <v>45687</v>
      </c>
      <c r="P292" s="678">
        <f t="shared" si="56"/>
        <v>6705.4656950602675</v>
      </c>
      <c r="Q292" s="678"/>
      <c r="R292" s="678">
        <f t="shared" si="55"/>
        <v>0.79914454174005922</v>
      </c>
      <c r="S292" s="679"/>
      <c r="T292" s="680">
        <f t="shared" si="57"/>
        <v>6706.2648396020077</v>
      </c>
    </row>
    <row r="293" spans="1:20">
      <c r="A293" s="681">
        <v>45688</v>
      </c>
      <c r="B293" s="678">
        <f t="shared" si="47"/>
        <v>601172.18650371581</v>
      </c>
      <c r="C293" s="678"/>
      <c r="D293" s="678">
        <f t="shared" si="54"/>
        <v>71.646548254552428</v>
      </c>
      <c r="E293" s="678">
        <f>+$E$109</f>
        <v>81000.5</v>
      </c>
      <c r="F293" s="678">
        <f t="shared" si="48"/>
        <v>520243.33305197034</v>
      </c>
      <c r="H293" s="681">
        <v>45688</v>
      </c>
      <c r="I293" s="678">
        <f t="shared" si="49"/>
        <v>1568124.2243814557</v>
      </c>
      <c r="J293" s="678"/>
      <c r="K293" s="678">
        <f t="shared" si="53"/>
        <v>186.88603770025566</v>
      </c>
      <c r="L293" s="678"/>
      <c r="M293" s="678">
        <f t="shared" si="50"/>
        <v>1568311.110419156</v>
      </c>
      <c r="O293" s="681">
        <v>45688</v>
      </c>
      <c r="P293" s="678">
        <f t="shared" si="56"/>
        <v>6706.2648396020077</v>
      </c>
      <c r="Q293" s="678"/>
      <c r="R293" s="678">
        <f t="shared" si="55"/>
        <v>0.79923978225393788</v>
      </c>
      <c r="S293" s="679"/>
      <c r="T293" s="680">
        <f t="shared" si="57"/>
        <v>6707.0640793842613</v>
      </c>
    </row>
    <row r="294" spans="1:20">
      <c r="A294" s="682">
        <v>45689</v>
      </c>
      <c r="B294" s="678">
        <f t="shared" si="47"/>
        <v>520243.33305197034</v>
      </c>
      <c r="C294" s="678"/>
      <c r="D294" s="678">
        <f t="shared" si="54"/>
        <v>62.001602706193715</v>
      </c>
      <c r="E294" s="678"/>
      <c r="F294" s="678">
        <f t="shared" si="48"/>
        <v>520305.33465467655</v>
      </c>
      <c r="H294" s="682">
        <v>45689</v>
      </c>
      <c r="I294" s="678">
        <f t="shared" si="49"/>
        <v>1568311.110419156</v>
      </c>
      <c r="J294" s="678"/>
      <c r="K294" s="678">
        <f t="shared" si="53"/>
        <v>186.90831041981721</v>
      </c>
      <c r="L294" s="678"/>
      <c r="M294" s="678">
        <f t="shared" si="50"/>
        <v>1568498.0187295759</v>
      </c>
      <c r="O294" s="682">
        <v>45689</v>
      </c>
      <c r="P294" s="678">
        <f t="shared" si="56"/>
        <v>6707.0640793842613</v>
      </c>
      <c r="Q294" s="678"/>
      <c r="R294" s="678">
        <f t="shared" si="55"/>
        <v>0.79933503411839812</v>
      </c>
      <c r="S294" s="679"/>
      <c r="T294" s="680">
        <f t="shared" si="57"/>
        <v>6707.8634144183798</v>
      </c>
    </row>
    <row r="295" spans="1:20">
      <c r="A295" s="681">
        <v>45690</v>
      </c>
      <c r="B295" s="678">
        <f t="shared" si="47"/>
        <v>520305.33465467655</v>
      </c>
      <c r="C295" s="678"/>
      <c r="D295" s="678">
        <f t="shared" si="54"/>
        <v>62.008991938297058</v>
      </c>
      <c r="E295" s="678"/>
      <c r="F295" s="678">
        <f t="shared" si="48"/>
        <v>520367.34364661487</v>
      </c>
      <c r="H295" s="681">
        <v>45690</v>
      </c>
      <c r="I295" s="678">
        <f t="shared" si="49"/>
        <v>1568498.0187295759</v>
      </c>
      <c r="J295" s="678"/>
      <c r="K295" s="678">
        <f t="shared" si="53"/>
        <v>186.93058579379874</v>
      </c>
      <c r="L295" s="678"/>
      <c r="M295" s="678">
        <f t="shared" si="50"/>
        <v>1568684.9493153696</v>
      </c>
      <c r="O295" s="681">
        <v>45690</v>
      </c>
      <c r="P295" s="678">
        <f t="shared" si="56"/>
        <v>6707.8634144183798</v>
      </c>
      <c r="Q295" s="678"/>
      <c r="R295" s="678">
        <f t="shared" si="55"/>
        <v>0.79943029733479321</v>
      </c>
      <c r="S295" s="679"/>
      <c r="T295" s="680">
        <f t="shared" si="57"/>
        <v>6708.6628447157145</v>
      </c>
    </row>
    <row r="296" spans="1:20">
      <c r="A296" s="681">
        <v>45691</v>
      </c>
      <c r="B296" s="678">
        <f t="shared" si="47"/>
        <v>520367.34364661487</v>
      </c>
      <c r="C296" s="678"/>
      <c r="D296" s="678">
        <f t="shared" si="54"/>
        <v>62.016382051034924</v>
      </c>
      <c r="E296" s="678"/>
      <c r="F296" s="678">
        <f t="shared" si="48"/>
        <v>520429.36002866592</v>
      </c>
      <c r="H296" s="681">
        <v>45691</v>
      </c>
      <c r="I296" s="678">
        <f t="shared" si="49"/>
        <v>1568684.9493153696</v>
      </c>
      <c r="J296" s="678"/>
      <c r="K296" s="678">
        <f t="shared" si="53"/>
        <v>186.95286382251663</v>
      </c>
      <c r="L296" s="678"/>
      <c r="M296" s="678">
        <f t="shared" si="50"/>
        <v>1568871.9021791921</v>
      </c>
      <c r="O296" s="681">
        <v>45691</v>
      </c>
      <c r="P296" s="678">
        <f t="shared" si="56"/>
        <v>6708.6628447157145</v>
      </c>
      <c r="Q296" s="678"/>
      <c r="R296" s="678">
        <f t="shared" si="55"/>
        <v>0.79952557190447548</v>
      </c>
      <c r="S296" s="679"/>
      <c r="T296" s="680">
        <f t="shared" si="57"/>
        <v>6709.4623702876188</v>
      </c>
    </row>
    <row r="297" spans="1:20">
      <c r="A297" s="682">
        <v>45692</v>
      </c>
      <c r="B297" s="678">
        <f t="shared" si="47"/>
        <v>520429.36002866592</v>
      </c>
      <c r="C297" s="678"/>
      <c r="D297" s="678">
        <f t="shared" si="54"/>
        <v>62.023773044512239</v>
      </c>
      <c r="E297" s="678"/>
      <c r="F297" s="678">
        <f t="shared" si="48"/>
        <v>520491.38380171044</v>
      </c>
      <c r="H297" s="682">
        <v>45692</v>
      </c>
      <c r="I297" s="678">
        <f t="shared" si="49"/>
        <v>1568871.9021791921</v>
      </c>
      <c r="J297" s="678"/>
      <c r="K297" s="678">
        <f t="shared" si="53"/>
        <v>186.97514450628728</v>
      </c>
      <c r="L297" s="678"/>
      <c r="M297" s="678">
        <f t="shared" si="50"/>
        <v>1569058.8773236983</v>
      </c>
      <c r="O297" s="682">
        <v>45692</v>
      </c>
      <c r="P297" s="678">
        <f t="shared" si="56"/>
        <v>6709.4623702876188</v>
      </c>
      <c r="Q297" s="678"/>
      <c r="R297" s="678">
        <f t="shared" si="55"/>
        <v>0.79962085782879833</v>
      </c>
      <c r="S297" s="679"/>
      <c r="T297" s="680">
        <f t="shared" si="57"/>
        <v>6710.2619911454476</v>
      </c>
    </row>
    <row r="298" spans="1:20">
      <c r="A298" s="681">
        <v>45693</v>
      </c>
      <c r="B298" s="678">
        <f t="shared" si="47"/>
        <v>520491.38380171044</v>
      </c>
      <c r="C298" s="678"/>
      <c r="D298" s="678">
        <f t="shared" si="54"/>
        <v>62.03116491883398</v>
      </c>
      <c r="E298" s="678"/>
      <c r="F298" s="678">
        <f t="shared" si="48"/>
        <v>520553.41496662929</v>
      </c>
      <c r="H298" s="681">
        <v>45693</v>
      </c>
      <c r="I298" s="678">
        <f t="shared" si="49"/>
        <v>1569058.8773236983</v>
      </c>
      <c r="J298" s="678"/>
      <c r="K298" s="678">
        <f t="shared" si="53"/>
        <v>186.99742784542704</v>
      </c>
      <c r="L298" s="678"/>
      <c r="M298" s="678">
        <f t="shared" si="50"/>
        <v>1569245.8747515436</v>
      </c>
      <c r="O298" s="681">
        <v>45693</v>
      </c>
      <c r="P298" s="678">
        <f t="shared" si="56"/>
        <v>6710.2619911454476</v>
      </c>
      <c r="Q298" s="678"/>
      <c r="R298" s="678">
        <f t="shared" si="55"/>
        <v>0.79971615510911487</v>
      </c>
      <c r="S298" s="679">
        <f>+P298/5</f>
        <v>1342.0523982290895</v>
      </c>
      <c r="T298" s="680">
        <f t="shared" si="57"/>
        <v>5369.0093090714672</v>
      </c>
    </row>
    <row r="299" spans="1:20">
      <c r="A299" s="681">
        <v>45694</v>
      </c>
      <c r="B299" s="678">
        <f t="shared" si="47"/>
        <v>520553.41496662929</v>
      </c>
      <c r="C299" s="678"/>
      <c r="D299" s="678">
        <f t="shared" si="54"/>
        <v>62.038557674105128</v>
      </c>
      <c r="E299" s="678"/>
      <c r="F299" s="678">
        <f t="shared" si="48"/>
        <v>520615.45352430339</v>
      </c>
      <c r="H299" s="681">
        <v>45694</v>
      </c>
      <c r="I299" s="678">
        <f t="shared" si="49"/>
        <v>1569245.8747515436</v>
      </c>
      <c r="J299" s="678"/>
      <c r="K299" s="678">
        <f t="shared" si="53"/>
        <v>187.01971384025245</v>
      </c>
      <c r="L299" s="678"/>
      <c r="M299" s="678">
        <f t="shared" si="50"/>
        <v>1569432.8944653838</v>
      </c>
      <c r="O299" s="681">
        <v>45694</v>
      </c>
      <c r="P299" s="678">
        <f t="shared" si="56"/>
        <v>5369.0093090714672</v>
      </c>
      <c r="Q299" s="678"/>
      <c r="R299" s="678">
        <f t="shared" si="55"/>
        <v>0.63986823272495563</v>
      </c>
      <c r="S299" s="679"/>
      <c r="T299" s="680">
        <f t="shared" si="57"/>
        <v>5369.6491773041926</v>
      </c>
    </row>
    <row r="300" spans="1:20">
      <c r="A300" s="682">
        <v>45695</v>
      </c>
      <c r="B300" s="678">
        <f t="shared" si="47"/>
        <v>520615.45352430339</v>
      </c>
      <c r="C300" s="678"/>
      <c r="D300" s="678">
        <f t="shared" si="54"/>
        <v>62.045951310430674</v>
      </c>
      <c r="E300" s="678"/>
      <c r="F300" s="678">
        <f t="shared" si="48"/>
        <v>520677.49947561382</v>
      </c>
      <c r="H300" s="682">
        <v>45695</v>
      </c>
      <c r="I300" s="678">
        <f t="shared" si="49"/>
        <v>1569432.8944653838</v>
      </c>
      <c r="J300" s="678"/>
      <c r="K300" s="678">
        <f t="shared" si="53"/>
        <v>187.04200249107998</v>
      </c>
      <c r="L300" s="678"/>
      <c r="M300" s="678">
        <f t="shared" si="50"/>
        <v>1569619.936467875</v>
      </c>
      <c r="O300" s="682">
        <v>45695</v>
      </c>
      <c r="P300" s="678">
        <f t="shared" si="56"/>
        <v>5369.6491773041926</v>
      </c>
      <c r="Q300" s="678"/>
      <c r="R300" s="678">
        <f t="shared" si="55"/>
        <v>0.63994449099378725</v>
      </c>
      <c r="S300" s="679"/>
      <c r="T300" s="680">
        <f t="shared" si="57"/>
        <v>5370.2891217951865</v>
      </c>
    </row>
    <row r="301" spans="1:20">
      <c r="A301" s="681">
        <v>45696</v>
      </c>
      <c r="B301" s="678">
        <f t="shared" si="47"/>
        <v>520677.49947561382</v>
      </c>
      <c r="C301" s="678"/>
      <c r="D301" s="678">
        <f t="shared" si="54"/>
        <v>62.053345827915614</v>
      </c>
      <c r="E301" s="678"/>
      <c r="F301" s="678">
        <f t="shared" si="48"/>
        <v>520739.55282144173</v>
      </c>
      <c r="H301" s="681">
        <v>45696</v>
      </c>
      <c r="I301" s="678">
        <f t="shared" si="49"/>
        <v>1569619.936467875</v>
      </c>
      <c r="J301" s="678"/>
      <c r="K301" s="678">
        <f t="shared" si="53"/>
        <v>187.0642937982262</v>
      </c>
      <c r="L301" s="678"/>
      <c r="M301" s="678">
        <f t="shared" si="50"/>
        <v>1569807.0007616733</v>
      </c>
      <c r="O301" s="681">
        <v>45696</v>
      </c>
      <c r="P301" s="678">
        <f t="shared" si="56"/>
        <v>5370.2891217951865</v>
      </c>
      <c r="Q301" s="678"/>
      <c r="R301" s="678">
        <f t="shared" si="55"/>
        <v>0.64002075835093319</v>
      </c>
      <c r="S301" s="679"/>
      <c r="T301" s="680">
        <f t="shared" si="57"/>
        <v>5370.9291425535375</v>
      </c>
    </row>
    <row r="302" spans="1:20">
      <c r="A302" s="681">
        <v>45697</v>
      </c>
      <c r="B302" s="678">
        <f t="shared" si="47"/>
        <v>520739.55282144173</v>
      </c>
      <c r="C302" s="678"/>
      <c r="D302" s="678">
        <f t="shared" si="54"/>
        <v>62.060741226664966</v>
      </c>
      <c r="E302" s="678"/>
      <c r="F302" s="678">
        <f t="shared" si="48"/>
        <v>520801.61356266838</v>
      </c>
      <c r="H302" s="681">
        <v>45697</v>
      </c>
      <c r="I302" s="678">
        <f t="shared" si="49"/>
        <v>1569807.0007616733</v>
      </c>
      <c r="J302" s="678"/>
      <c r="K302" s="678">
        <f t="shared" si="53"/>
        <v>187.08658776200764</v>
      </c>
      <c r="L302" s="678"/>
      <c r="M302" s="678">
        <f t="shared" si="50"/>
        <v>1569994.0873494353</v>
      </c>
      <c r="O302" s="681">
        <v>45697</v>
      </c>
      <c r="P302" s="678">
        <f t="shared" si="56"/>
        <v>5370.9291425535375</v>
      </c>
      <c r="Q302" s="678"/>
      <c r="R302" s="678">
        <f t="shared" si="55"/>
        <v>0.64009703479747637</v>
      </c>
      <c r="S302" s="679"/>
      <c r="T302" s="680">
        <f t="shared" si="57"/>
        <v>5371.5692395883352</v>
      </c>
    </row>
    <row r="303" spans="1:20">
      <c r="A303" s="682">
        <v>45698</v>
      </c>
      <c r="B303" s="678">
        <f t="shared" si="47"/>
        <v>520801.61356266838</v>
      </c>
      <c r="C303" s="678"/>
      <c r="D303" s="678">
        <f t="shared" si="54"/>
        <v>62.068137506783764</v>
      </c>
      <c r="E303" s="678"/>
      <c r="F303" s="678">
        <f t="shared" si="48"/>
        <v>520863.68170017516</v>
      </c>
      <c r="H303" s="682">
        <v>45698</v>
      </c>
      <c r="I303" s="678">
        <f t="shared" si="49"/>
        <v>1569994.0873494353</v>
      </c>
      <c r="J303" s="678"/>
      <c r="K303" s="678">
        <f t="shared" si="53"/>
        <v>187.10888438274088</v>
      </c>
      <c r="L303" s="678"/>
      <c r="M303" s="678">
        <f t="shared" si="50"/>
        <v>1570181.1962338181</v>
      </c>
      <c r="O303" s="682">
        <v>45698</v>
      </c>
      <c r="P303" s="678">
        <f t="shared" si="56"/>
        <v>5371.5692395883352</v>
      </c>
      <c r="Q303" s="678"/>
      <c r="R303" s="678">
        <f t="shared" si="55"/>
        <v>0.64017332033450025</v>
      </c>
      <c r="S303" s="679"/>
      <c r="T303" s="680">
        <f t="shared" si="57"/>
        <v>5372.2094129086699</v>
      </c>
    </row>
    <row r="304" spans="1:20">
      <c r="A304" s="681">
        <v>45699</v>
      </c>
      <c r="B304" s="678">
        <f t="shared" si="47"/>
        <v>520863.68170017516</v>
      </c>
      <c r="C304" s="678"/>
      <c r="D304" s="678">
        <f t="shared" si="54"/>
        <v>62.075534668377038</v>
      </c>
      <c r="E304" s="678"/>
      <c r="F304" s="678">
        <f t="shared" si="48"/>
        <v>520925.75723484356</v>
      </c>
      <c r="H304" s="681">
        <v>45699</v>
      </c>
      <c r="I304" s="678">
        <f t="shared" si="49"/>
        <v>1570181.1962338181</v>
      </c>
      <c r="J304" s="678"/>
      <c r="K304" s="678">
        <f t="shared" si="53"/>
        <v>187.13118366074269</v>
      </c>
      <c r="L304" s="678"/>
      <c r="M304" s="678">
        <f t="shared" si="50"/>
        <v>1570368.3274174789</v>
      </c>
      <c r="O304" s="681">
        <v>45699</v>
      </c>
      <c r="P304" s="678">
        <f t="shared" si="56"/>
        <v>5372.2094129086699</v>
      </c>
      <c r="Q304" s="678"/>
      <c r="R304" s="678">
        <f t="shared" si="55"/>
        <v>0.64024961496308808</v>
      </c>
      <c r="S304" s="679"/>
      <c r="T304" s="680">
        <f t="shared" si="57"/>
        <v>5372.849662523633</v>
      </c>
    </row>
    <row r="305" spans="1:20">
      <c r="A305" s="681">
        <v>45700</v>
      </c>
      <c r="B305" s="678">
        <f t="shared" si="47"/>
        <v>520925.75723484356</v>
      </c>
      <c r="C305" s="678"/>
      <c r="D305" s="678">
        <f t="shared" si="54"/>
        <v>62.082932711549844</v>
      </c>
      <c r="E305" s="678"/>
      <c r="F305" s="678">
        <f t="shared" si="48"/>
        <v>520987.84016755514</v>
      </c>
      <c r="H305" s="681">
        <v>45700</v>
      </c>
      <c r="I305" s="678">
        <f t="shared" si="49"/>
        <v>1570368.3274174789</v>
      </c>
      <c r="J305" s="678"/>
      <c r="K305" s="678">
        <f t="shared" si="53"/>
        <v>187.15348559632966</v>
      </c>
      <c r="L305" s="678"/>
      <c r="M305" s="678">
        <f t="shared" si="50"/>
        <v>1570555.4809030753</v>
      </c>
      <c r="O305" s="681">
        <v>45700</v>
      </c>
      <c r="P305" s="678">
        <f t="shared" si="56"/>
        <v>5372.849662523633</v>
      </c>
      <c r="Q305" s="678"/>
      <c r="R305" s="678">
        <f t="shared" si="55"/>
        <v>0.64032591868432331</v>
      </c>
      <c r="S305" s="679"/>
      <c r="T305" s="680">
        <f t="shared" si="57"/>
        <v>5373.4899884423176</v>
      </c>
    </row>
    <row r="306" spans="1:20">
      <c r="A306" s="682">
        <v>45701</v>
      </c>
      <c r="B306" s="678">
        <f t="shared" si="47"/>
        <v>520987.84016755514</v>
      </c>
      <c r="C306" s="678"/>
      <c r="D306" s="678">
        <f t="shared" si="54"/>
        <v>62.09033163640725</v>
      </c>
      <c r="E306" s="678"/>
      <c r="F306" s="678">
        <f t="shared" si="48"/>
        <v>521049.93049919157</v>
      </c>
      <c r="H306" s="682">
        <v>45701</v>
      </c>
      <c r="I306" s="678">
        <f t="shared" si="49"/>
        <v>1570555.4809030753</v>
      </c>
      <c r="J306" s="678"/>
      <c r="K306" s="678">
        <f t="shared" si="53"/>
        <v>187.17579018981854</v>
      </c>
      <c r="L306" s="678"/>
      <c r="M306" s="678">
        <f t="shared" si="50"/>
        <v>1570742.6566932651</v>
      </c>
      <c r="O306" s="682">
        <v>45701</v>
      </c>
      <c r="P306" s="678">
        <f t="shared" si="56"/>
        <v>5373.4899884423176</v>
      </c>
      <c r="Q306" s="678"/>
      <c r="R306" s="678">
        <f t="shared" si="55"/>
        <v>0.64040223149928988</v>
      </c>
      <c r="S306" s="679"/>
      <c r="T306" s="680">
        <f t="shared" si="57"/>
        <v>5374.1303906738167</v>
      </c>
    </row>
    <row r="307" spans="1:20">
      <c r="A307" s="681">
        <v>45702</v>
      </c>
      <c r="B307" s="678">
        <f t="shared" si="47"/>
        <v>521049.93049919157</v>
      </c>
      <c r="C307" s="678"/>
      <c r="D307" s="678">
        <f t="shared" si="54"/>
        <v>62.097731443054336</v>
      </c>
      <c r="E307" s="678"/>
      <c r="F307" s="678">
        <f t="shared" si="48"/>
        <v>521112.02823063463</v>
      </c>
      <c r="H307" s="681">
        <v>45702</v>
      </c>
      <c r="I307" s="678">
        <f t="shared" si="49"/>
        <v>1570742.6566932651</v>
      </c>
      <c r="J307" s="678"/>
      <c r="K307" s="678">
        <f t="shared" si="53"/>
        <v>187.1980974415261</v>
      </c>
      <c r="L307" s="678"/>
      <c r="M307" s="678">
        <f t="shared" si="50"/>
        <v>1570929.8547907067</v>
      </c>
      <c r="O307" s="681">
        <v>45702</v>
      </c>
      <c r="P307" s="678">
        <f t="shared" si="56"/>
        <v>5374.1303906738167</v>
      </c>
      <c r="Q307" s="678"/>
      <c r="R307" s="678">
        <f t="shared" si="55"/>
        <v>0.64047855340907123</v>
      </c>
      <c r="S307" s="679"/>
      <c r="T307" s="680">
        <f t="shared" si="57"/>
        <v>5374.7708692272254</v>
      </c>
    </row>
    <row r="308" spans="1:20">
      <c r="A308" s="681">
        <v>45703</v>
      </c>
      <c r="B308" s="678">
        <f t="shared" si="47"/>
        <v>521112.02823063463</v>
      </c>
      <c r="C308" s="678">
        <f>SUM($D$451+$D$452+$D$453)/12</f>
        <v>73029.166666666672</v>
      </c>
      <c r="D308" s="678">
        <f t="shared" si="54"/>
        <v>62.105132131596179</v>
      </c>
      <c r="E308" s="678"/>
      <c r="F308" s="678">
        <f t="shared" si="48"/>
        <v>594203.30002943287</v>
      </c>
      <c r="H308" s="681">
        <v>45703</v>
      </c>
      <c r="I308" s="678">
        <f t="shared" si="49"/>
        <v>1570929.8547907067</v>
      </c>
      <c r="J308" s="678"/>
      <c r="K308" s="678">
        <f t="shared" si="53"/>
        <v>187.22040735176913</v>
      </c>
      <c r="L308" s="678"/>
      <c r="M308" s="678">
        <f t="shared" si="50"/>
        <v>1571117.0751980585</v>
      </c>
      <c r="O308" s="681">
        <v>45703</v>
      </c>
      <c r="P308" s="678">
        <f t="shared" si="56"/>
        <v>5374.7708692272254</v>
      </c>
      <c r="Q308" s="678"/>
      <c r="R308" s="678">
        <f t="shared" si="55"/>
        <v>0.6405548844147515</v>
      </c>
      <c r="S308" s="679"/>
      <c r="T308" s="680">
        <f t="shared" si="57"/>
        <v>5375.4114241116404</v>
      </c>
    </row>
    <row r="309" spans="1:20">
      <c r="A309" s="682">
        <v>45704</v>
      </c>
      <c r="B309" s="678">
        <f t="shared" si="47"/>
        <v>594203.30002943287</v>
      </c>
      <c r="C309" s="678"/>
      <c r="D309" s="678">
        <f t="shared" si="54"/>
        <v>70.816009729535139</v>
      </c>
      <c r="E309" s="678"/>
      <c r="F309" s="678">
        <f t="shared" si="48"/>
        <v>594274.11603916239</v>
      </c>
      <c r="H309" s="682">
        <v>45704</v>
      </c>
      <c r="I309" s="678">
        <f t="shared" si="49"/>
        <v>1571117.0751980585</v>
      </c>
      <c r="J309" s="678"/>
      <c r="K309" s="678">
        <f t="shared" si="53"/>
        <v>187.24271992086449</v>
      </c>
      <c r="L309" s="678"/>
      <c r="M309" s="678">
        <f t="shared" si="50"/>
        <v>1571304.3179179793</v>
      </c>
      <c r="O309" s="682">
        <v>45704</v>
      </c>
      <c r="P309" s="678">
        <f t="shared" si="56"/>
        <v>5375.4114241116404</v>
      </c>
      <c r="Q309" s="678"/>
      <c r="R309" s="678">
        <f t="shared" si="55"/>
        <v>0.64063122451741461</v>
      </c>
      <c r="S309" s="679"/>
      <c r="T309" s="680">
        <f t="shared" si="57"/>
        <v>5376.0520553361575</v>
      </c>
    </row>
    <row r="310" spans="1:20">
      <c r="A310" s="681">
        <v>45705</v>
      </c>
      <c r="B310" s="678">
        <f t="shared" si="47"/>
        <v>594274.11603916239</v>
      </c>
      <c r="C310" s="678"/>
      <c r="D310" s="678">
        <f t="shared" si="54"/>
        <v>70.824449445763193</v>
      </c>
      <c r="E310" s="678"/>
      <c r="F310" s="678">
        <f t="shared" si="48"/>
        <v>594344.9404886082</v>
      </c>
      <c r="H310" s="681">
        <v>45705</v>
      </c>
      <c r="I310" s="678">
        <f t="shared" si="49"/>
        <v>1571304.3179179793</v>
      </c>
      <c r="J310" s="678"/>
      <c r="K310" s="678">
        <f t="shared" si="53"/>
        <v>187.26503514912903</v>
      </c>
      <c r="L310" s="678"/>
      <c r="M310" s="678">
        <f t="shared" si="50"/>
        <v>1571491.5829531285</v>
      </c>
      <c r="O310" s="681">
        <v>45705</v>
      </c>
      <c r="P310" s="678">
        <f t="shared" si="56"/>
        <v>5376.0520553361575</v>
      </c>
      <c r="Q310" s="678"/>
      <c r="R310" s="678">
        <f t="shared" si="55"/>
        <v>0.6407075737181448</v>
      </c>
      <c r="S310" s="679"/>
      <c r="T310" s="680">
        <f t="shared" si="57"/>
        <v>5376.6927629098755</v>
      </c>
    </row>
    <row r="311" spans="1:20">
      <c r="A311" s="681">
        <v>45706</v>
      </c>
      <c r="B311" s="678">
        <f t="shared" si="47"/>
        <v>594344.9404886082</v>
      </c>
      <c r="C311" s="678"/>
      <c r="D311" s="678">
        <f t="shared" si="54"/>
        <v>70.832890167820423</v>
      </c>
      <c r="E311" s="678"/>
      <c r="F311" s="678">
        <f t="shared" si="48"/>
        <v>594415.77337877604</v>
      </c>
      <c r="H311" s="681">
        <v>45706</v>
      </c>
      <c r="I311" s="678">
        <f t="shared" si="49"/>
        <v>1571491.5829531285</v>
      </c>
      <c r="J311" s="678"/>
      <c r="K311" s="678">
        <f t="shared" si="53"/>
        <v>187.28735303687967</v>
      </c>
      <c r="L311" s="678"/>
      <c r="M311" s="678">
        <f t="shared" si="50"/>
        <v>1571678.8703061654</v>
      </c>
      <c r="O311" s="681">
        <v>45706</v>
      </c>
      <c r="P311" s="678">
        <f t="shared" si="56"/>
        <v>5376.6927629098755</v>
      </c>
      <c r="Q311" s="678"/>
      <c r="R311" s="678">
        <f t="shared" si="55"/>
        <v>0.64078393201802619</v>
      </c>
      <c r="S311" s="679"/>
      <c r="T311" s="680">
        <f t="shared" si="57"/>
        <v>5377.3335468418936</v>
      </c>
    </row>
    <row r="312" spans="1:20">
      <c r="A312" s="682">
        <v>45707</v>
      </c>
      <c r="B312" s="678">
        <f t="shared" si="47"/>
        <v>594415.77337877604</v>
      </c>
      <c r="C312" s="678"/>
      <c r="D312" s="678">
        <f t="shared" si="54"/>
        <v>70.841331895826727</v>
      </c>
      <c r="E312" s="678"/>
      <c r="F312" s="678">
        <f t="shared" si="48"/>
        <v>594486.61471067183</v>
      </c>
      <c r="H312" s="682">
        <v>45707</v>
      </c>
      <c r="I312" s="678">
        <f t="shared" si="49"/>
        <v>1571678.8703061654</v>
      </c>
      <c r="J312" s="678"/>
      <c r="K312" s="678">
        <f t="shared" si="53"/>
        <v>187.3096735844334</v>
      </c>
      <c r="L312" s="678"/>
      <c r="M312" s="678">
        <f t="shared" si="50"/>
        <v>1571866.17997975</v>
      </c>
      <c r="O312" s="682">
        <v>45707</v>
      </c>
      <c r="P312" s="678">
        <f t="shared" si="56"/>
        <v>5377.3335468418936</v>
      </c>
      <c r="Q312" s="678"/>
      <c r="R312" s="678">
        <f t="shared" si="55"/>
        <v>0.64086029941814338</v>
      </c>
      <c r="S312" s="679"/>
      <c r="T312" s="680">
        <f t="shared" si="57"/>
        <v>5377.9744071413115</v>
      </c>
    </row>
    <row r="313" spans="1:20">
      <c r="A313" s="681">
        <v>45708</v>
      </c>
      <c r="B313" s="678">
        <f t="shared" si="47"/>
        <v>594486.61471067183</v>
      </c>
      <c r="C313" s="678"/>
      <c r="D313" s="678">
        <f t="shared" si="54"/>
        <v>70.849774629901987</v>
      </c>
      <c r="E313" s="678"/>
      <c r="F313" s="678">
        <f t="shared" si="48"/>
        <v>594557.46448530175</v>
      </c>
      <c r="H313" s="681">
        <v>45708</v>
      </c>
      <c r="I313" s="678">
        <f t="shared" si="49"/>
        <v>1571866.17997975</v>
      </c>
      <c r="J313" s="678"/>
      <c r="K313" s="678">
        <f t="shared" si="53"/>
        <v>187.33199679210716</v>
      </c>
      <c r="L313" s="678"/>
      <c r="M313" s="678">
        <f t="shared" si="50"/>
        <v>1572053.511976542</v>
      </c>
      <c r="O313" s="681">
        <v>45708</v>
      </c>
      <c r="P313" s="678">
        <f t="shared" si="56"/>
        <v>5377.9744071413115</v>
      </c>
      <c r="Q313" s="678"/>
      <c r="R313" s="678">
        <f t="shared" si="55"/>
        <v>0.64093667591958092</v>
      </c>
      <c r="S313" s="679"/>
      <c r="T313" s="680">
        <f t="shared" si="57"/>
        <v>5378.6153438172314</v>
      </c>
    </row>
    <row r="314" spans="1:20">
      <c r="A314" s="681">
        <v>45709</v>
      </c>
      <c r="B314" s="678">
        <f t="shared" si="47"/>
        <v>594557.46448530175</v>
      </c>
      <c r="C314" s="678"/>
      <c r="D314" s="678">
        <f t="shared" si="54"/>
        <v>70.858218370166099</v>
      </c>
      <c r="E314" s="678"/>
      <c r="F314" s="678">
        <f t="shared" si="48"/>
        <v>594628.32270367187</v>
      </c>
      <c r="H314" s="681">
        <v>45709</v>
      </c>
      <c r="I314" s="678">
        <f t="shared" si="49"/>
        <v>1572053.511976542</v>
      </c>
      <c r="J314" s="678"/>
      <c r="K314" s="678">
        <f t="shared" si="53"/>
        <v>187.35432266021797</v>
      </c>
      <c r="L314" s="678"/>
      <c r="M314" s="678">
        <f t="shared" si="50"/>
        <v>1572240.8662992022</v>
      </c>
      <c r="O314" s="681">
        <v>45709</v>
      </c>
      <c r="P314" s="678">
        <f t="shared" si="56"/>
        <v>5378.6153438172314</v>
      </c>
      <c r="Q314" s="678"/>
      <c r="R314" s="678">
        <f t="shared" si="55"/>
        <v>0.64101306152342341</v>
      </c>
      <c r="S314" s="679"/>
      <c r="T314" s="680">
        <f t="shared" si="57"/>
        <v>5379.2563568787546</v>
      </c>
    </row>
    <row r="315" spans="1:20">
      <c r="A315" s="682">
        <v>45710</v>
      </c>
      <c r="B315" s="678">
        <f t="shared" si="47"/>
        <v>594628.32270367187</v>
      </c>
      <c r="C315" s="678"/>
      <c r="D315" s="678">
        <f t="shared" si="54"/>
        <v>70.866663116738977</v>
      </c>
      <c r="E315" s="678"/>
      <c r="F315" s="678">
        <f t="shared" si="48"/>
        <v>594699.1893667886</v>
      </c>
      <c r="H315" s="682">
        <v>45710</v>
      </c>
      <c r="I315" s="678">
        <f t="shared" si="49"/>
        <v>1572240.8662992022</v>
      </c>
      <c r="J315" s="678"/>
      <c r="K315" s="678">
        <f t="shared" si="53"/>
        <v>187.37665118908299</v>
      </c>
      <c r="L315" s="678"/>
      <c r="M315" s="678">
        <f t="shared" si="50"/>
        <v>1572428.2429503913</v>
      </c>
      <c r="O315" s="682">
        <v>45710</v>
      </c>
      <c r="P315" s="678">
        <f t="shared" si="56"/>
        <v>5379.2563568787546</v>
      </c>
      <c r="Q315" s="678"/>
      <c r="R315" s="678">
        <f t="shared" si="55"/>
        <v>0.64108945623075564</v>
      </c>
      <c r="S315" s="679"/>
      <c r="T315" s="680">
        <f t="shared" si="57"/>
        <v>5379.897446334985</v>
      </c>
    </row>
    <row r="316" spans="1:20">
      <c r="A316" s="681">
        <v>45711</v>
      </c>
      <c r="B316" s="678">
        <f t="shared" si="47"/>
        <v>594699.1893667886</v>
      </c>
      <c r="C316" s="678"/>
      <c r="D316" s="678">
        <f t="shared" si="54"/>
        <v>70.875108869740558</v>
      </c>
      <c r="E316" s="678"/>
      <c r="F316" s="678">
        <f t="shared" si="48"/>
        <v>594770.06447565835</v>
      </c>
      <c r="H316" s="681">
        <v>45711</v>
      </c>
      <c r="I316" s="678">
        <f t="shared" si="49"/>
        <v>1572428.2429503913</v>
      </c>
      <c r="J316" s="678"/>
      <c r="K316" s="678">
        <f t="shared" si="53"/>
        <v>187.3989823790192</v>
      </c>
      <c r="L316" s="678"/>
      <c r="M316" s="678">
        <f t="shared" si="50"/>
        <v>1572615.6419327704</v>
      </c>
      <c r="O316" s="681">
        <v>45711</v>
      </c>
      <c r="P316" s="678">
        <f t="shared" si="56"/>
        <v>5379.897446334985</v>
      </c>
      <c r="Q316" s="678"/>
      <c r="R316" s="678">
        <f t="shared" si="55"/>
        <v>0.64116586004266263</v>
      </c>
      <c r="S316" s="679"/>
      <c r="T316" s="680">
        <f t="shared" si="57"/>
        <v>5380.5386121950278</v>
      </c>
    </row>
    <row r="317" spans="1:20">
      <c r="A317" s="681">
        <v>45712</v>
      </c>
      <c r="B317" s="678">
        <f t="shared" si="47"/>
        <v>594770.06447565835</v>
      </c>
      <c r="C317" s="678"/>
      <c r="D317" s="678">
        <f t="shared" si="54"/>
        <v>70.883555629290782</v>
      </c>
      <c r="E317" s="678"/>
      <c r="F317" s="678">
        <f t="shared" si="48"/>
        <v>594840.94803128764</v>
      </c>
      <c r="H317" s="681">
        <v>45712</v>
      </c>
      <c r="I317" s="678">
        <f t="shared" si="49"/>
        <v>1572615.6419327704</v>
      </c>
      <c r="J317" s="678"/>
      <c r="K317" s="678">
        <f t="shared" si="53"/>
        <v>187.42131623034385</v>
      </c>
      <c r="L317" s="678"/>
      <c r="M317" s="678">
        <f t="shared" si="50"/>
        <v>1572803.0632490008</v>
      </c>
      <c r="O317" s="681">
        <v>45712</v>
      </c>
      <c r="P317" s="678">
        <f t="shared" si="56"/>
        <v>5380.5386121950278</v>
      </c>
      <c r="Q317" s="678"/>
      <c r="R317" s="678">
        <f t="shared" si="55"/>
        <v>0.64124227296022929</v>
      </c>
      <c r="S317" s="679"/>
      <c r="T317" s="680">
        <f t="shared" si="57"/>
        <v>5381.1798544679878</v>
      </c>
    </row>
    <row r="318" spans="1:20">
      <c r="A318" s="682">
        <v>45713</v>
      </c>
      <c r="B318" s="678">
        <f t="shared" si="47"/>
        <v>594840.94803128764</v>
      </c>
      <c r="C318" s="678"/>
      <c r="D318" s="678">
        <f t="shared" si="54"/>
        <v>70.892003395509619</v>
      </c>
      <c r="E318" s="678"/>
      <c r="F318" s="678">
        <f t="shared" si="48"/>
        <v>594911.84003468312</v>
      </c>
      <c r="H318" s="682">
        <v>45713</v>
      </c>
      <c r="I318" s="678">
        <f t="shared" si="49"/>
        <v>1572803.0632490008</v>
      </c>
      <c r="J318" s="678"/>
      <c r="K318" s="678">
        <f t="shared" si="53"/>
        <v>187.44365274337406</v>
      </c>
      <c r="L318" s="678"/>
      <c r="M318" s="678">
        <f t="shared" si="50"/>
        <v>1572990.5069017443</v>
      </c>
      <c r="O318" s="682">
        <v>45713</v>
      </c>
      <c r="P318" s="678">
        <f t="shared" si="56"/>
        <v>5381.1798544679878</v>
      </c>
      <c r="Q318" s="678"/>
      <c r="R318" s="678">
        <f t="shared" si="55"/>
        <v>0.64131869498454097</v>
      </c>
      <c r="S318" s="679"/>
      <c r="T318" s="680">
        <f t="shared" si="57"/>
        <v>5381.8211731629726</v>
      </c>
    </row>
    <row r="319" spans="1:20">
      <c r="A319" s="681">
        <v>45714</v>
      </c>
      <c r="B319" s="678">
        <f t="shared" si="47"/>
        <v>594911.84003468312</v>
      </c>
      <c r="C319" s="678"/>
      <c r="D319" s="678">
        <f t="shared" si="54"/>
        <v>70.90045216851702</v>
      </c>
      <c r="E319" s="678"/>
      <c r="F319" s="678">
        <f t="shared" si="48"/>
        <v>594982.74048685166</v>
      </c>
      <c r="H319" s="681">
        <v>45714</v>
      </c>
      <c r="I319" s="678">
        <f t="shared" si="49"/>
        <v>1572990.5069017443</v>
      </c>
      <c r="J319" s="678"/>
      <c r="K319" s="678">
        <f t="shared" si="53"/>
        <v>187.46599191842705</v>
      </c>
      <c r="L319" s="678"/>
      <c r="M319" s="678">
        <f t="shared" si="50"/>
        <v>1573177.9728936628</v>
      </c>
      <c r="O319" s="681">
        <v>45714</v>
      </c>
      <c r="P319" s="678">
        <f t="shared" si="56"/>
        <v>5381.8211731629726</v>
      </c>
      <c r="Q319" s="678"/>
      <c r="R319" s="678">
        <f t="shared" si="55"/>
        <v>0.64139512611668303</v>
      </c>
      <c r="S319" s="679"/>
      <c r="T319" s="680">
        <f t="shared" si="57"/>
        <v>5382.4625682890892</v>
      </c>
    </row>
    <row r="320" spans="1:20">
      <c r="A320" s="681">
        <v>45715</v>
      </c>
      <c r="B320" s="678">
        <f t="shared" si="47"/>
        <v>594982.74048685166</v>
      </c>
      <c r="C320" s="678"/>
      <c r="D320" s="678">
        <f t="shared" si="54"/>
        <v>70.908901948432998</v>
      </c>
      <c r="E320" s="678"/>
      <c r="F320" s="678">
        <f t="shared" si="48"/>
        <v>595053.64938880014</v>
      </c>
      <c r="H320" s="681">
        <v>45715</v>
      </c>
      <c r="I320" s="678">
        <f t="shared" si="49"/>
        <v>1573177.9728936628</v>
      </c>
      <c r="J320" s="678"/>
      <c r="K320" s="678">
        <f t="shared" si="53"/>
        <v>187.48833375582004</v>
      </c>
      <c r="L320" s="678"/>
      <c r="M320" s="678">
        <f t="shared" si="50"/>
        <v>1573365.4612274186</v>
      </c>
      <c r="O320" s="681">
        <v>45715</v>
      </c>
      <c r="P320" s="678">
        <f t="shared" si="56"/>
        <v>5382.4625682890892</v>
      </c>
      <c r="Q320" s="678"/>
      <c r="R320" s="678">
        <f t="shared" si="55"/>
        <v>0.64147156635774072</v>
      </c>
      <c r="S320" s="679"/>
      <c r="T320" s="680">
        <f t="shared" si="57"/>
        <v>5383.1040398554469</v>
      </c>
    </row>
    <row r="321" spans="1:20">
      <c r="A321" s="682">
        <v>45716</v>
      </c>
      <c r="B321" s="678">
        <f t="shared" si="47"/>
        <v>595053.64938880014</v>
      </c>
      <c r="C321" s="678"/>
      <c r="D321" s="678">
        <f t="shared" si="54"/>
        <v>70.917352735377548</v>
      </c>
      <c r="E321" s="678">
        <f>+$E$109</f>
        <v>81000.5</v>
      </c>
      <c r="F321" s="678">
        <f t="shared" si="48"/>
        <v>514124.06674153556</v>
      </c>
      <c r="H321" s="682">
        <v>45716</v>
      </c>
      <c r="I321" s="678">
        <f t="shared" si="49"/>
        <v>1573365.4612274186</v>
      </c>
      <c r="J321" s="678"/>
      <c r="K321" s="678">
        <f t="shared" si="53"/>
        <v>187.51067825587043</v>
      </c>
      <c r="L321" s="678"/>
      <c r="M321" s="678">
        <f t="shared" si="50"/>
        <v>1573552.9719056746</v>
      </c>
      <c r="O321" s="682">
        <v>45716</v>
      </c>
      <c r="P321" s="678">
        <f t="shared" si="56"/>
        <v>5383.1040398554469</v>
      </c>
      <c r="Q321" s="678"/>
      <c r="R321" s="678">
        <f t="shared" si="55"/>
        <v>0.64154801570879982</v>
      </c>
      <c r="S321" s="679"/>
      <c r="T321" s="680">
        <f t="shared" si="57"/>
        <v>5383.7455878711553</v>
      </c>
    </row>
    <row r="322" spans="1:20">
      <c r="A322" s="681">
        <v>45717</v>
      </c>
      <c r="B322" s="678">
        <f t="shared" si="47"/>
        <v>514124.06674153556</v>
      </c>
      <c r="C322" s="678"/>
      <c r="D322" s="678">
        <f t="shared" si="54"/>
        <v>61.272320282895329</v>
      </c>
      <c r="E322" s="678"/>
      <c r="F322" s="678">
        <f t="shared" si="48"/>
        <v>514185.33906181843</v>
      </c>
      <c r="H322" s="681">
        <v>45717</v>
      </c>
      <c r="I322" s="678">
        <f t="shared" si="49"/>
        <v>1573552.9719056746</v>
      </c>
      <c r="J322" s="678"/>
      <c r="K322" s="678">
        <f t="shared" si="53"/>
        <v>187.53302541889545</v>
      </c>
      <c r="L322" s="678"/>
      <c r="M322" s="678">
        <f t="shared" si="50"/>
        <v>1573740.5049310934</v>
      </c>
      <c r="O322" s="681">
        <v>45717</v>
      </c>
      <c r="P322" s="678">
        <f t="shared" si="56"/>
        <v>5383.7455878711553</v>
      </c>
      <c r="Q322" s="678"/>
      <c r="R322" s="678">
        <f t="shared" si="55"/>
        <v>0.64162447417094592</v>
      </c>
      <c r="S322" s="679"/>
      <c r="T322" s="680">
        <f t="shared" si="57"/>
        <v>5384.3872123453266</v>
      </c>
    </row>
    <row r="323" spans="1:20">
      <c r="A323" s="681">
        <v>45718</v>
      </c>
      <c r="B323" s="678">
        <f t="shared" si="47"/>
        <v>514185.33906181843</v>
      </c>
      <c r="C323" s="678"/>
      <c r="D323" s="678">
        <f t="shared" si="54"/>
        <v>61.279622600518081</v>
      </c>
      <c r="E323" s="678"/>
      <c r="F323" s="678">
        <f t="shared" si="48"/>
        <v>514246.61868441897</v>
      </c>
      <c r="H323" s="681">
        <v>45718</v>
      </c>
      <c r="I323" s="678">
        <f t="shared" si="49"/>
        <v>1573740.5049310934</v>
      </c>
      <c r="J323" s="678"/>
      <c r="K323" s="678">
        <f t="shared" si="53"/>
        <v>187.55537524521247</v>
      </c>
      <c r="L323" s="678"/>
      <c r="M323" s="678">
        <f t="shared" si="50"/>
        <v>1573928.0603063386</v>
      </c>
      <c r="O323" s="681">
        <v>45718</v>
      </c>
      <c r="P323" s="678">
        <f t="shared" si="56"/>
        <v>5384.3872123453266</v>
      </c>
      <c r="Q323" s="678"/>
      <c r="R323" s="678">
        <f t="shared" si="55"/>
        <v>0.64170094174526493</v>
      </c>
      <c r="S323" s="679"/>
      <c r="T323" s="680">
        <f t="shared" si="57"/>
        <v>5385.0289132870721</v>
      </c>
    </row>
    <row r="324" spans="1:20">
      <c r="A324" s="682">
        <v>45719</v>
      </c>
      <c r="B324" s="678">
        <f t="shared" si="47"/>
        <v>514246.61868441897</v>
      </c>
      <c r="C324" s="678"/>
      <c r="D324" s="678">
        <f t="shared" si="54"/>
        <v>61.286925788417058</v>
      </c>
      <c r="E324" s="678"/>
      <c r="F324" s="678">
        <f t="shared" si="48"/>
        <v>514307.90561020741</v>
      </c>
      <c r="H324" s="682">
        <v>45719</v>
      </c>
      <c r="I324" s="678">
        <f t="shared" si="49"/>
        <v>1573928.0603063386</v>
      </c>
      <c r="J324" s="678"/>
      <c r="K324" s="678">
        <f t="shared" si="53"/>
        <v>187.57772773513898</v>
      </c>
      <c r="L324" s="678"/>
      <c r="M324" s="678">
        <f t="shared" si="50"/>
        <v>1574115.6380340736</v>
      </c>
      <c r="O324" s="682">
        <v>45719</v>
      </c>
      <c r="P324" s="678">
        <f t="shared" si="56"/>
        <v>5385.0289132870721</v>
      </c>
      <c r="Q324" s="678"/>
      <c r="R324" s="678">
        <f t="shared" si="55"/>
        <v>0.64177741843284275</v>
      </c>
      <c r="S324" s="679"/>
      <c r="T324" s="680">
        <f t="shared" si="57"/>
        <v>5385.670690705505</v>
      </c>
    </row>
    <row r="325" spans="1:20">
      <c r="A325" s="681">
        <v>45720</v>
      </c>
      <c r="B325" s="678">
        <f t="shared" si="47"/>
        <v>514307.90561020741</v>
      </c>
      <c r="C325" s="678"/>
      <c r="D325" s="678">
        <f t="shared" si="54"/>
        <v>61.294229846695949</v>
      </c>
      <c r="E325" s="678"/>
      <c r="F325" s="678">
        <f t="shared" si="48"/>
        <v>514369.19984005409</v>
      </c>
      <c r="H325" s="681">
        <v>45720</v>
      </c>
      <c r="I325" s="678">
        <f t="shared" si="49"/>
        <v>1574115.6380340736</v>
      </c>
      <c r="J325" s="678"/>
      <c r="K325" s="678">
        <f t="shared" si="53"/>
        <v>187.60008288899235</v>
      </c>
      <c r="L325" s="678"/>
      <c r="M325" s="678">
        <f t="shared" si="50"/>
        <v>1574303.2381169626</v>
      </c>
      <c r="O325" s="681">
        <v>45720</v>
      </c>
      <c r="P325" s="678">
        <f t="shared" si="56"/>
        <v>5385.670690705505</v>
      </c>
      <c r="Q325" s="678"/>
      <c r="R325" s="678">
        <f t="shared" si="55"/>
        <v>0.64185390423476563</v>
      </c>
      <c r="S325" s="679"/>
      <c r="T325" s="680">
        <f t="shared" si="57"/>
        <v>5386.3125446097401</v>
      </c>
    </row>
    <row r="326" spans="1:20">
      <c r="A326" s="681">
        <v>45721</v>
      </c>
      <c r="B326" s="678">
        <f t="shared" si="47"/>
        <v>514369.19984005409</v>
      </c>
      <c r="C326" s="678"/>
      <c r="D326" s="678">
        <f t="shared" si="54"/>
        <v>61.301534775458492</v>
      </c>
      <c r="E326" s="678"/>
      <c r="F326" s="678">
        <f t="shared" si="48"/>
        <v>514430.50137482956</v>
      </c>
      <c r="H326" s="681">
        <v>45721</v>
      </c>
      <c r="I326" s="678">
        <f t="shared" si="49"/>
        <v>1574303.2381169626</v>
      </c>
      <c r="J326" s="678"/>
      <c r="K326" s="678">
        <f t="shared" si="53"/>
        <v>187.62244070709005</v>
      </c>
      <c r="L326" s="678"/>
      <c r="M326" s="678">
        <f t="shared" si="50"/>
        <v>1574490.8605576698</v>
      </c>
      <c r="O326" s="681">
        <v>45721</v>
      </c>
      <c r="P326" s="678">
        <f t="shared" si="56"/>
        <v>5386.3125446097401</v>
      </c>
      <c r="Q326" s="678"/>
      <c r="R326" s="678">
        <f t="shared" si="55"/>
        <v>0.64193039915211969</v>
      </c>
      <c r="S326" s="679">
        <f>+P326/4</f>
        <v>1346.578136152435</v>
      </c>
      <c r="T326" s="680">
        <f t="shared" si="57"/>
        <v>4040.3763388564576</v>
      </c>
    </row>
    <row r="327" spans="1:20">
      <c r="A327" s="682">
        <v>45722</v>
      </c>
      <c r="B327" s="678">
        <f t="shared" si="47"/>
        <v>514430.50137482956</v>
      </c>
      <c r="C327" s="678"/>
      <c r="D327" s="678">
        <f t="shared" si="54"/>
        <v>61.30884057480845</v>
      </c>
      <c r="E327" s="678"/>
      <c r="F327" s="678">
        <f t="shared" si="48"/>
        <v>514491.81021540437</v>
      </c>
      <c r="H327" s="682">
        <v>45722</v>
      </c>
      <c r="I327" s="678">
        <f t="shared" si="49"/>
        <v>1574490.8605576698</v>
      </c>
      <c r="J327" s="678"/>
      <c r="K327" s="678">
        <f t="shared" si="53"/>
        <v>187.64480118974967</v>
      </c>
      <c r="L327" s="678"/>
      <c r="M327" s="678">
        <f t="shared" si="50"/>
        <v>1574678.5053588594</v>
      </c>
      <c r="O327" s="682">
        <v>45722</v>
      </c>
      <c r="P327" s="678">
        <f t="shared" si="56"/>
        <v>4040.3763388564576</v>
      </c>
      <c r="Q327" s="678"/>
      <c r="R327" s="678">
        <f t="shared" si="55"/>
        <v>0.48152430339796137</v>
      </c>
      <c r="S327" s="679"/>
      <c r="T327" s="680">
        <f t="shared" si="57"/>
        <v>4040.8578631598557</v>
      </c>
    </row>
    <row r="328" spans="1:20">
      <c r="A328" s="681">
        <v>45723</v>
      </c>
      <c r="B328" s="678">
        <f t="shared" si="47"/>
        <v>514491.81021540437</v>
      </c>
      <c r="C328" s="678"/>
      <c r="D328" s="678">
        <f t="shared" si="54"/>
        <v>61.31614724484956</v>
      </c>
      <c r="E328" s="678"/>
      <c r="F328" s="678">
        <f t="shared" si="48"/>
        <v>514553.1263626492</v>
      </c>
      <c r="H328" s="681">
        <v>45723</v>
      </c>
      <c r="I328" s="678">
        <f t="shared" si="49"/>
        <v>1574678.5053588594</v>
      </c>
      <c r="J328" s="678"/>
      <c r="K328" s="678">
        <f t="shared" si="53"/>
        <v>187.66716433728871</v>
      </c>
      <c r="L328" s="678"/>
      <c r="M328" s="678">
        <f t="shared" si="50"/>
        <v>1574866.1725231968</v>
      </c>
      <c r="O328" s="681">
        <v>45723</v>
      </c>
      <c r="P328" s="678">
        <f t="shared" si="56"/>
        <v>4040.8578631598557</v>
      </c>
      <c r="Q328" s="678"/>
      <c r="R328" s="678">
        <f t="shared" si="55"/>
        <v>0.48158169054096911</v>
      </c>
      <c r="S328" s="679"/>
      <c r="T328" s="680">
        <f t="shared" si="57"/>
        <v>4041.3394448503968</v>
      </c>
    </row>
    <row r="329" spans="1:20">
      <c r="A329" s="681">
        <v>45724</v>
      </c>
      <c r="B329" s="678">
        <f t="shared" ref="B329:B392" si="58">+F328</f>
        <v>514553.1263626492</v>
      </c>
      <c r="C329" s="678"/>
      <c r="D329" s="678">
        <f t="shared" si="54"/>
        <v>61.323454785685584</v>
      </c>
      <c r="E329" s="678"/>
      <c r="F329" s="678">
        <f t="shared" ref="F329:F392" si="59">+B329+C329+D329-E329</f>
        <v>514614.44981743488</v>
      </c>
      <c r="H329" s="681">
        <v>45724</v>
      </c>
      <c r="I329" s="678">
        <f t="shared" ref="I329:I392" si="60">+M328</f>
        <v>1574866.1725231968</v>
      </c>
      <c r="J329" s="678"/>
      <c r="K329" s="678">
        <f t="shared" si="53"/>
        <v>187.68953015002481</v>
      </c>
      <c r="L329" s="678"/>
      <c r="M329" s="678">
        <f t="shared" ref="M329:M392" si="61">+I329+J329+K329-L329</f>
        <v>1575053.8620533468</v>
      </c>
      <c r="O329" s="681">
        <v>45724</v>
      </c>
      <c r="P329" s="678">
        <f t="shared" si="56"/>
        <v>4041.3394448503968</v>
      </c>
      <c r="Q329" s="678"/>
      <c r="R329" s="678">
        <f t="shared" si="55"/>
        <v>0.48163908452326643</v>
      </c>
      <c r="S329" s="679"/>
      <c r="T329" s="680">
        <f t="shared" si="57"/>
        <v>4041.8210839349199</v>
      </c>
    </row>
    <row r="330" spans="1:20">
      <c r="A330" s="682">
        <v>45725</v>
      </c>
      <c r="B330" s="678">
        <f t="shared" si="58"/>
        <v>514614.44981743488</v>
      </c>
      <c r="C330" s="678"/>
      <c r="D330" s="678">
        <f t="shared" si="54"/>
        <v>61.330763197420318</v>
      </c>
      <c r="E330" s="678"/>
      <c r="F330" s="678">
        <f t="shared" si="59"/>
        <v>514675.78058063233</v>
      </c>
      <c r="H330" s="682">
        <v>45725</v>
      </c>
      <c r="I330" s="678">
        <f t="shared" si="60"/>
        <v>1575053.8620533468</v>
      </c>
      <c r="J330" s="678"/>
      <c r="K330" s="678">
        <f t="shared" si="53"/>
        <v>187.71189862827555</v>
      </c>
      <c r="L330" s="678"/>
      <c r="M330" s="678">
        <f t="shared" si="61"/>
        <v>1575241.5739519752</v>
      </c>
      <c r="O330" s="682">
        <v>45725</v>
      </c>
      <c r="P330" s="678">
        <f t="shared" si="56"/>
        <v>4041.8210839349199</v>
      </c>
      <c r="Q330" s="678"/>
      <c r="R330" s="678">
        <f t="shared" si="55"/>
        <v>0.4816964853456685</v>
      </c>
      <c r="S330" s="679"/>
      <c r="T330" s="680">
        <f t="shared" si="57"/>
        <v>4042.3027804202657</v>
      </c>
    </row>
    <row r="331" spans="1:20">
      <c r="A331" s="681">
        <v>45726</v>
      </c>
      <c r="B331" s="678">
        <f t="shared" si="58"/>
        <v>514675.78058063233</v>
      </c>
      <c r="C331" s="678"/>
      <c r="D331" s="678">
        <f t="shared" si="54"/>
        <v>61.33807248015755</v>
      </c>
      <c r="E331" s="678"/>
      <c r="F331" s="678">
        <f t="shared" si="59"/>
        <v>514737.1186531125</v>
      </c>
      <c r="H331" s="681">
        <v>45726</v>
      </c>
      <c r="I331" s="678">
        <f t="shared" si="60"/>
        <v>1575241.5739519752</v>
      </c>
      <c r="J331" s="678"/>
      <c r="K331" s="678">
        <f t="shared" si="53"/>
        <v>187.73426977235869</v>
      </c>
      <c r="L331" s="678"/>
      <c r="M331" s="678">
        <f t="shared" si="61"/>
        <v>1575429.3082217476</v>
      </c>
      <c r="O331" s="681">
        <v>45726</v>
      </c>
      <c r="P331" s="678">
        <f t="shared" si="56"/>
        <v>4042.3027804202657</v>
      </c>
      <c r="Q331" s="678"/>
      <c r="R331" s="678">
        <f t="shared" si="55"/>
        <v>0.48175389300899057</v>
      </c>
      <c r="S331" s="679"/>
      <c r="T331" s="680">
        <f t="shared" si="57"/>
        <v>4042.7845343132744</v>
      </c>
    </row>
    <row r="332" spans="1:20">
      <c r="A332" s="681">
        <v>45727</v>
      </c>
      <c r="B332" s="678">
        <f t="shared" si="58"/>
        <v>514737.1186531125</v>
      </c>
      <c r="C332" s="678"/>
      <c r="D332" s="678">
        <f t="shared" si="54"/>
        <v>61.345382634001076</v>
      </c>
      <c r="E332" s="678"/>
      <c r="F332" s="678">
        <f t="shared" si="59"/>
        <v>514798.46403574653</v>
      </c>
      <c r="H332" s="681">
        <v>45727</v>
      </c>
      <c r="I332" s="678">
        <f t="shared" si="60"/>
        <v>1575429.3082217476</v>
      </c>
      <c r="J332" s="678"/>
      <c r="K332" s="678">
        <f t="shared" si="53"/>
        <v>187.75664358259181</v>
      </c>
      <c r="L332" s="678"/>
      <c r="M332" s="678">
        <f t="shared" si="61"/>
        <v>1575617.0648653302</v>
      </c>
      <c r="O332" s="681">
        <v>45727</v>
      </c>
      <c r="P332" s="678">
        <f t="shared" si="56"/>
        <v>4042.7845343132744</v>
      </c>
      <c r="Q332" s="678"/>
      <c r="R332" s="678">
        <f t="shared" si="55"/>
        <v>0.48181130751404772</v>
      </c>
      <c r="S332" s="679"/>
      <c r="T332" s="680">
        <f t="shared" si="57"/>
        <v>4043.2663456207883</v>
      </c>
    </row>
    <row r="333" spans="1:20">
      <c r="A333" s="682">
        <v>45728</v>
      </c>
      <c r="B333" s="678">
        <f t="shared" si="58"/>
        <v>514798.46403574653</v>
      </c>
      <c r="C333" s="678"/>
      <c r="D333" s="678">
        <f t="shared" si="54"/>
        <v>61.352693659054715</v>
      </c>
      <c r="E333" s="678"/>
      <c r="F333" s="678">
        <f t="shared" si="59"/>
        <v>514859.8167294056</v>
      </c>
      <c r="H333" s="682">
        <v>45728</v>
      </c>
      <c r="I333" s="678">
        <f t="shared" si="60"/>
        <v>1575617.0648653302</v>
      </c>
      <c r="J333" s="678"/>
      <c r="K333" s="678">
        <f t="shared" si="53"/>
        <v>187.77902005929278</v>
      </c>
      <c r="L333" s="678"/>
      <c r="M333" s="678">
        <f t="shared" si="61"/>
        <v>1575804.8438853896</v>
      </c>
      <c r="O333" s="682">
        <v>45728</v>
      </c>
      <c r="P333" s="678">
        <f t="shared" si="56"/>
        <v>4043.2663456207883</v>
      </c>
      <c r="Q333" s="678"/>
      <c r="R333" s="678">
        <f t="shared" si="55"/>
        <v>0.48186872886165555</v>
      </c>
      <c r="S333" s="679"/>
      <c r="T333" s="680">
        <f t="shared" si="57"/>
        <v>4043.74821434965</v>
      </c>
    </row>
    <row r="334" spans="1:20">
      <c r="A334" s="681">
        <v>45729</v>
      </c>
      <c r="B334" s="678">
        <f t="shared" si="58"/>
        <v>514859.8167294056</v>
      </c>
      <c r="C334" s="678"/>
      <c r="D334" s="678">
        <f t="shared" si="54"/>
        <v>61.360005555422305</v>
      </c>
      <c r="E334" s="678"/>
      <c r="F334" s="678">
        <f t="shared" si="59"/>
        <v>514921.17673496105</v>
      </c>
      <c r="H334" s="681">
        <v>45729</v>
      </c>
      <c r="I334" s="678">
        <f t="shared" si="60"/>
        <v>1575804.8438853896</v>
      </c>
      <c r="J334" s="678"/>
      <c r="K334" s="678">
        <f t="shared" si="53"/>
        <v>187.80139920277929</v>
      </c>
      <c r="L334" s="678"/>
      <c r="M334" s="678">
        <f t="shared" si="61"/>
        <v>1575992.6452845924</v>
      </c>
      <c r="O334" s="681">
        <v>45729</v>
      </c>
      <c r="P334" s="678">
        <f t="shared" si="56"/>
        <v>4043.74821434965</v>
      </c>
      <c r="Q334" s="678"/>
      <c r="R334" s="678">
        <f t="shared" si="55"/>
        <v>0.48192615705262948</v>
      </c>
      <c r="S334" s="679"/>
      <c r="T334" s="680">
        <f t="shared" si="57"/>
        <v>4044.2301405067028</v>
      </c>
    </row>
    <row r="335" spans="1:20">
      <c r="A335" s="681">
        <v>45730</v>
      </c>
      <c r="B335" s="678">
        <f t="shared" si="58"/>
        <v>514921.17673496105</v>
      </c>
      <c r="C335" s="678"/>
      <c r="D335" s="678">
        <f t="shared" si="54"/>
        <v>61.367318323207684</v>
      </c>
      <c r="E335" s="678"/>
      <c r="F335" s="678">
        <f t="shared" si="59"/>
        <v>514982.54405328428</v>
      </c>
      <c r="H335" s="681">
        <v>45730</v>
      </c>
      <c r="I335" s="678">
        <f t="shared" si="60"/>
        <v>1575992.6452845924</v>
      </c>
      <c r="J335" s="678"/>
      <c r="K335" s="678">
        <f t="shared" si="53"/>
        <v>187.8237810133692</v>
      </c>
      <c r="L335" s="678"/>
      <c r="M335" s="678">
        <f t="shared" si="61"/>
        <v>1576180.4690656057</v>
      </c>
      <c r="O335" s="681">
        <v>45730</v>
      </c>
      <c r="P335" s="678">
        <f t="shared" si="56"/>
        <v>4044.2301405067028</v>
      </c>
      <c r="Q335" s="678"/>
      <c r="R335" s="678">
        <f t="shared" si="55"/>
        <v>0.48198359208778513</v>
      </c>
      <c r="S335" s="679"/>
      <c r="T335" s="680">
        <f t="shared" si="57"/>
        <v>4044.7121240987908</v>
      </c>
    </row>
    <row r="336" spans="1:20">
      <c r="A336" s="682">
        <v>45731</v>
      </c>
      <c r="B336" s="678">
        <f t="shared" si="58"/>
        <v>514982.54405328428</v>
      </c>
      <c r="C336" s="678">
        <f>SUM($D$451+$D$452+$D$453)/12</f>
        <v>73029.166666666672</v>
      </c>
      <c r="D336" s="678">
        <f t="shared" si="54"/>
        <v>61.374631962514705</v>
      </c>
      <c r="E336" s="678"/>
      <c r="F336" s="678">
        <f t="shared" si="59"/>
        <v>588073.08535191347</v>
      </c>
      <c r="H336" s="682">
        <v>45731</v>
      </c>
      <c r="I336" s="678">
        <f t="shared" si="60"/>
        <v>1576180.4690656057</v>
      </c>
      <c r="J336" s="678"/>
      <c r="K336" s="678">
        <f t="shared" si="53"/>
        <v>187.84616549138039</v>
      </c>
      <c r="L336" s="678"/>
      <c r="M336" s="678">
        <f t="shared" si="61"/>
        <v>1576368.3152310969</v>
      </c>
      <c r="O336" s="682">
        <v>45731</v>
      </c>
      <c r="P336" s="678">
        <f t="shared" si="56"/>
        <v>4044.7121240987908</v>
      </c>
      <c r="Q336" s="678"/>
      <c r="R336" s="678">
        <f t="shared" si="55"/>
        <v>0.48204103396793807</v>
      </c>
      <c r="S336" s="679"/>
      <c r="T336" s="680">
        <f t="shared" si="57"/>
        <v>4045.1941651327588</v>
      </c>
    </row>
    <row r="337" spans="1:20">
      <c r="A337" s="681">
        <v>45732</v>
      </c>
      <c r="B337" s="678">
        <f t="shared" si="58"/>
        <v>588073.08535191347</v>
      </c>
      <c r="C337" s="678"/>
      <c r="D337" s="678">
        <f t="shared" si="54"/>
        <v>70.085422500844473</v>
      </c>
      <c r="E337" s="678"/>
      <c r="F337" s="678">
        <f t="shared" si="59"/>
        <v>588143.17077441432</v>
      </c>
      <c r="H337" s="681">
        <v>45732</v>
      </c>
      <c r="I337" s="678">
        <f t="shared" si="60"/>
        <v>1576368.3152310969</v>
      </c>
      <c r="J337" s="678"/>
      <c r="K337" s="678">
        <f t="shared" si="53"/>
        <v>187.8685526371307</v>
      </c>
      <c r="L337" s="678"/>
      <c r="M337" s="678">
        <f t="shared" si="61"/>
        <v>1576556.183783734</v>
      </c>
      <c r="O337" s="681">
        <v>45732</v>
      </c>
      <c r="P337" s="678">
        <f t="shared" si="56"/>
        <v>4045.1941651327588</v>
      </c>
      <c r="Q337" s="678"/>
      <c r="R337" s="678">
        <f t="shared" si="55"/>
        <v>0.48209848269390415</v>
      </c>
      <c r="S337" s="679"/>
      <c r="T337" s="680">
        <f t="shared" si="57"/>
        <v>4045.6762636154526</v>
      </c>
    </row>
    <row r="338" spans="1:20">
      <c r="A338" s="681">
        <v>45733</v>
      </c>
      <c r="B338" s="678">
        <f t="shared" si="58"/>
        <v>588143.17077441432</v>
      </c>
      <c r="C338" s="678"/>
      <c r="D338" s="678">
        <f t="shared" si="54"/>
        <v>70.093775147087726</v>
      </c>
      <c r="E338" s="678"/>
      <c r="F338" s="678">
        <f t="shared" si="59"/>
        <v>588213.26454956143</v>
      </c>
      <c r="H338" s="681">
        <v>45733</v>
      </c>
      <c r="I338" s="678">
        <f t="shared" si="60"/>
        <v>1576556.183783734</v>
      </c>
      <c r="J338" s="678"/>
      <c r="K338" s="678">
        <f t="shared" ref="K338:K401" si="62">SUM(I338*$K$1)/365</f>
        <v>187.89094245093816</v>
      </c>
      <c r="L338" s="678"/>
      <c r="M338" s="678">
        <f t="shared" si="61"/>
        <v>1576744.0747261848</v>
      </c>
      <c r="O338" s="681">
        <v>45733</v>
      </c>
      <c r="P338" s="678">
        <f t="shared" si="56"/>
        <v>4045.6762636154526</v>
      </c>
      <c r="Q338" s="678"/>
      <c r="R338" s="678">
        <f t="shared" si="55"/>
        <v>0.48215593826649911</v>
      </c>
      <c r="S338" s="679"/>
      <c r="T338" s="680">
        <f t="shared" si="57"/>
        <v>4046.1584195537193</v>
      </c>
    </row>
    <row r="339" spans="1:20">
      <c r="A339" s="682">
        <v>45734</v>
      </c>
      <c r="B339" s="678">
        <f t="shared" si="58"/>
        <v>588213.26454956143</v>
      </c>
      <c r="C339" s="678"/>
      <c r="D339" s="678">
        <f t="shared" ref="D339:D402" si="63">SUM(B339*$K$1)/365</f>
        <v>70.102128788783347</v>
      </c>
      <c r="E339" s="678"/>
      <c r="F339" s="678">
        <f t="shared" si="59"/>
        <v>588283.36667835026</v>
      </c>
      <c r="H339" s="682">
        <v>45734</v>
      </c>
      <c r="I339" s="678">
        <f t="shared" si="60"/>
        <v>1576744.0747261848</v>
      </c>
      <c r="J339" s="678"/>
      <c r="K339" s="678">
        <f t="shared" si="62"/>
        <v>187.91333493312064</v>
      </c>
      <c r="L339" s="678"/>
      <c r="M339" s="678">
        <f t="shared" si="61"/>
        <v>1576931.9880611179</v>
      </c>
      <c r="O339" s="682">
        <v>45734</v>
      </c>
      <c r="P339" s="678">
        <f t="shared" si="56"/>
        <v>4046.1584195537193</v>
      </c>
      <c r="Q339" s="678"/>
      <c r="R339" s="678">
        <f t="shared" si="55"/>
        <v>0.48221340068653906</v>
      </c>
      <c r="S339" s="679"/>
      <c r="T339" s="680">
        <f t="shared" si="57"/>
        <v>4046.6406329544061</v>
      </c>
    </row>
    <row r="340" spans="1:20">
      <c r="A340" s="681">
        <v>45735</v>
      </c>
      <c r="B340" s="678">
        <f t="shared" si="58"/>
        <v>588283.36667835026</v>
      </c>
      <c r="C340" s="678"/>
      <c r="D340" s="678">
        <f t="shared" si="63"/>
        <v>70.110483426049953</v>
      </c>
      <c r="E340" s="678"/>
      <c r="F340" s="678">
        <f t="shared" si="59"/>
        <v>588353.47716177627</v>
      </c>
      <c r="H340" s="681">
        <v>45735</v>
      </c>
      <c r="I340" s="678">
        <f t="shared" si="60"/>
        <v>1576931.9880611179</v>
      </c>
      <c r="J340" s="678"/>
      <c r="K340" s="678">
        <f t="shared" si="62"/>
        <v>187.93573008399622</v>
      </c>
      <c r="L340" s="678"/>
      <c r="M340" s="678">
        <f t="shared" si="61"/>
        <v>1577119.923791202</v>
      </c>
      <c r="O340" s="681">
        <v>45735</v>
      </c>
      <c r="P340" s="678">
        <f t="shared" si="56"/>
        <v>4046.6406329544061</v>
      </c>
      <c r="Q340" s="678"/>
      <c r="R340" s="678">
        <f t="shared" si="55"/>
        <v>0.48227086995484014</v>
      </c>
      <c r="S340" s="679"/>
      <c r="T340" s="680">
        <f t="shared" si="57"/>
        <v>4047.1229038243609</v>
      </c>
    </row>
    <row r="341" spans="1:20">
      <c r="A341" s="681">
        <v>45736</v>
      </c>
      <c r="B341" s="678">
        <f t="shared" si="58"/>
        <v>588353.47716177627</v>
      </c>
      <c r="C341" s="678"/>
      <c r="D341" s="678">
        <f t="shared" si="63"/>
        <v>70.118839059006206</v>
      </c>
      <c r="E341" s="678"/>
      <c r="F341" s="678">
        <f t="shared" si="59"/>
        <v>588423.5960008353</v>
      </c>
      <c r="H341" s="681">
        <v>45736</v>
      </c>
      <c r="I341" s="678">
        <f t="shared" si="60"/>
        <v>1577119.923791202</v>
      </c>
      <c r="J341" s="678"/>
      <c r="K341" s="678">
        <f t="shared" si="62"/>
        <v>187.95812790388297</v>
      </c>
      <c r="L341" s="678"/>
      <c r="M341" s="678">
        <f t="shared" si="61"/>
        <v>1577307.881919106</v>
      </c>
      <c r="O341" s="681">
        <v>45736</v>
      </c>
      <c r="P341" s="678">
        <f t="shared" si="56"/>
        <v>4047.1229038243609</v>
      </c>
      <c r="Q341" s="678"/>
      <c r="R341" s="678">
        <f t="shared" ref="R341:R404" si="64">SUM(P341*$K$1)/365</f>
        <v>0.48232834607221831</v>
      </c>
      <c r="S341" s="679"/>
      <c r="T341" s="680">
        <f t="shared" si="57"/>
        <v>4047.6052321704333</v>
      </c>
    </row>
    <row r="342" spans="1:20">
      <c r="A342" s="682">
        <v>45737</v>
      </c>
      <c r="B342" s="678">
        <f t="shared" si="58"/>
        <v>588423.5960008353</v>
      </c>
      <c r="C342" s="678"/>
      <c r="D342" s="678">
        <f t="shared" si="63"/>
        <v>70.127195687770779</v>
      </c>
      <c r="E342" s="678"/>
      <c r="F342" s="678">
        <f t="shared" si="59"/>
        <v>588493.72319652303</v>
      </c>
      <c r="H342" s="682">
        <v>45737</v>
      </c>
      <c r="I342" s="678">
        <f t="shared" si="60"/>
        <v>1577307.881919106</v>
      </c>
      <c r="J342" s="678"/>
      <c r="K342" s="678">
        <f t="shared" si="62"/>
        <v>187.98052839309892</v>
      </c>
      <c r="L342" s="678"/>
      <c r="M342" s="678">
        <f t="shared" si="61"/>
        <v>1577495.8624474991</v>
      </c>
      <c r="O342" s="682">
        <v>45737</v>
      </c>
      <c r="P342" s="678">
        <f t="shared" si="56"/>
        <v>4047.6052321704333</v>
      </c>
      <c r="Q342" s="678"/>
      <c r="R342" s="678">
        <f t="shared" si="64"/>
        <v>0.48238582903948996</v>
      </c>
      <c r="S342" s="679"/>
      <c r="T342" s="680">
        <f t="shared" si="57"/>
        <v>4048.087617999473</v>
      </c>
    </row>
    <row r="343" spans="1:20">
      <c r="A343" s="681">
        <v>45738</v>
      </c>
      <c r="B343" s="678">
        <f t="shared" si="58"/>
        <v>588493.72319652303</v>
      </c>
      <c r="C343" s="678"/>
      <c r="D343" s="678">
        <f t="shared" si="63"/>
        <v>70.135553312462321</v>
      </c>
      <c r="E343" s="678"/>
      <c r="F343" s="678">
        <f t="shared" si="59"/>
        <v>588563.85874983552</v>
      </c>
      <c r="H343" s="681">
        <v>45738</v>
      </c>
      <c r="I343" s="678">
        <f t="shared" si="60"/>
        <v>1577495.8624474991</v>
      </c>
      <c r="J343" s="678"/>
      <c r="K343" s="678">
        <f t="shared" si="62"/>
        <v>188.00293155196218</v>
      </c>
      <c r="L343" s="678"/>
      <c r="M343" s="678">
        <f t="shared" si="61"/>
        <v>1577683.8653790511</v>
      </c>
      <c r="O343" s="681">
        <v>45738</v>
      </c>
      <c r="P343" s="678">
        <f t="shared" si="56"/>
        <v>4048.087617999473</v>
      </c>
      <c r="Q343" s="678"/>
      <c r="R343" s="678">
        <f t="shared" si="64"/>
        <v>0.48244331885747138</v>
      </c>
      <c r="S343" s="679"/>
      <c r="T343" s="680">
        <f t="shared" si="57"/>
        <v>4048.5700613183303</v>
      </c>
    </row>
    <row r="344" spans="1:20">
      <c r="A344" s="681">
        <v>45739</v>
      </c>
      <c r="B344" s="678">
        <f t="shared" si="58"/>
        <v>588563.85874983552</v>
      </c>
      <c r="C344" s="678"/>
      <c r="D344" s="678">
        <f t="shared" si="63"/>
        <v>70.143911933199561</v>
      </c>
      <c r="E344" s="678"/>
      <c r="F344" s="678">
        <f t="shared" si="59"/>
        <v>588634.0026617687</v>
      </c>
      <c r="H344" s="681">
        <v>45739</v>
      </c>
      <c r="I344" s="678">
        <f t="shared" si="60"/>
        <v>1577683.8653790511</v>
      </c>
      <c r="J344" s="678"/>
      <c r="K344" s="678">
        <f t="shared" si="62"/>
        <v>188.025337380791</v>
      </c>
      <c r="L344" s="678"/>
      <c r="M344" s="678">
        <f t="shared" si="61"/>
        <v>1577871.8907164319</v>
      </c>
      <c r="O344" s="681">
        <v>45739</v>
      </c>
      <c r="P344" s="678">
        <f t="shared" si="56"/>
        <v>4048.5700613183303</v>
      </c>
      <c r="Q344" s="678"/>
      <c r="R344" s="678">
        <f t="shared" si="64"/>
        <v>0.4825008155269791</v>
      </c>
      <c r="S344" s="679"/>
      <c r="T344" s="680">
        <f t="shared" si="57"/>
        <v>4049.0525621338575</v>
      </c>
    </row>
    <row r="345" spans="1:20">
      <c r="A345" s="682">
        <v>45740</v>
      </c>
      <c r="B345" s="678">
        <f t="shared" si="58"/>
        <v>588634.0026617687</v>
      </c>
      <c r="C345" s="678"/>
      <c r="D345" s="678">
        <f t="shared" si="63"/>
        <v>70.15227155010119</v>
      </c>
      <c r="E345" s="678"/>
      <c r="F345" s="678">
        <f t="shared" si="59"/>
        <v>588704.15493331884</v>
      </c>
      <c r="H345" s="682">
        <v>45740</v>
      </c>
      <c r="I345" s="678">
        <f t="shared" si="60"/>
        <v>1577871.8907164319</v>
      </c>
      <c r="J345" s="678"/>
      <c r="K345" s="678">
        <f t="shared" si="62"/>
        <v>188.04774587990349</v>
      </c>
      <c r="L345" s="678"/>
      <c r="M345" s="678">
        <f t="shared" si="61"/>
        <v>1578059.9384623119</v>
      </c>
      <c r="O345" s="682">
        <v>45740</v>
      </c>
      <c r="P345" s="678">
        <f t="shared" si="56"/>
        <v>4049.0525621338575</v>
      </c>
      <c r="Q345" s="678"/>
      <c r="R345" s="678">
        <f t="shared" si="64"/>
        <v>0.48255831904882956</v>
      </c>
      <c r="S345" s="679"/>
      <c r="T345" s="680">
        <f t="shared" si="57"/>
        <v>4049.5351204529061</v>
      </c>
    </row>
    <row r="346" spans="1:20">
      <c r="A346" s="681">
        <v>45741</v>
      </c>
      <c r="B346" s="678">
        <f t="shared" si="58"/>
        <v>588704.15493331884</v>
      </c>
      <c r="C346" s="678"/>
      <c r="D346" s="678">
        <f t="shared" si="63"/>
        <v>70.160632163285939</v>
      </c>
      <c r="E346" s="678"/>
      <c r="F346" s="678">
        <f t="shared" si="59"/>
        <v>588774.31556548213</v>
      </c>
      <c r="H346" s="681">
        <v>45741</v>
      </c>
      <c r="I346" s="678">
        <f t="shared" si="60"/>
        <v>1578059.9384623119</v>
      </c>
      <c r="J346" s="678"/>
      <c r="K346" s="678">
        <f t="shared" si="62"/>
        <v>188.07015704961796</v>
      </c>
      <c r="L346" s="678"/>
      <c r="M346" s="678">
        <f t="shared" si="61"/>
        <v>1578248.0086193616</v>
      </c>
      <c r="O346" s="681">
        <v>45741</v>
      </c>
      <c r="P346" s="678">
        <f t="shared" si="56"/>
        <v>4049.5351204529061</v>
      </c>
      <c r="Q346" s="678"/>
      <c r="R346" s="678">
        <f t="shared" si="64"/>
        <v>0.48261582942383952</v>
      </c>
      <c r="S346" s="679"/>
      <c r="T346" s="680">
        <f t="shared" si="57"/>
        <v>4050.0177362823301</v>
      </c>
    </row>
    <row r="347" spans="1:20">
      <c r="A347" s="681">
        <v>45742</v>
      </c>
      <c r="B347" s="678">
        <f t="shared" si="58"/>
        <v>588774.31556548213</v>
      </c>
      <c r="C347" s="678"/>
      <c r="D347" s="678">
        <f t="shared" si="63"/>
        <v>70.168993772872525</v>
      </c>
      <c r="E347" s="678"/>
      <c r="F347" s="678">
        <f t="shared" si="59"/>
        <v>588844.48455925495</v>
      </c>
      <c r="H347" s="681">
        <v>45742</v>
      </c>
      <c r="I347" s="678">
        <f t="shared" si="60"/>
        <v>1578248.0086193616</v>
      </c>
      <c r="J347" s="678"/>
      <c r="K347" s="678">
        <f t="shared" si="62"/>
        <v>188.09257089025266</v>
      </c>
      <c r="L347" s="678"/>
      <c r="M347" s="678">
        <f t="shared" si="61"/>
        <v>1578436.1011902518</v>
      </c>
      <c r="O347" s="681">
        <v>45742</v>
      </c>
      <c r="P347" s="678">
        <f t="shared" si="56"/>
        <v>4050.0177362823301</v>
      </c>
      <c r="Q347" s="678"/>
      <c r="R347" s="678">
        <f t="shared" si="64"/>
        <v>0.48267334665282563</v>
      </c>
      <c r="S347" s="679"/>
      <c r="T347" s="680">
        <f t="shared" si="57"/>
        <v>4050.5004096289831</v>
      </c>
    </row>
    <row r="348" spans="1:20">
      <c r="A348" s="682">
        <v>45743</v>
      </c>
      <c r="B348" s="678">
        <f t="shared" si="58"/>
        <v>588844.48455925495</v>
      </c>
      <c r="C348" s="678"/>
      <c r="D348" s="678">
        <f t="shared" si="63"/>
        <v>70.177356378979695</v>
      </c>
      <c r="E348" s="678"/>
      <c r="F348" s="678">
        <f t="shared" si="59"/>
        <v>588914.66191563394</v>
      </c>
      <c r="H348" s="682">
        <v>45743</v>
      </c>
      <c r="I348" s="678">
        <f t="shared" si="60"/>
        <v>1578436.1011902518</v>
      </c>
      <c r="J348" s="678"/>
      <c r="K348" s="678">
        <f t="shared" si="62"/>
        <v>188.11498740212591</v>
      </c>
      <c r="L348" s="678"/>
      <c r="M348" s="678">
        <f t="shared" si="61"/>
        <v>1578624.216177654</v>
      </c>
      <c r="O348" s="682">
        <v>45743</v>
      </c>
      <c r="P348" s="678">
        <f t="shared" si="56"/>
        <v>4050.5004096289831</v>
      </c>
      <c r="Q348" s="678"/>
      <c r="R348" s="678">
        <f t="shared" si="64"/>
        <v>0.48273087073660481</v>
      </c>
      <c r="S348" s="679"/>
      <c r="T348" s="680">
        <f t="shared" si="57"/>
        <v>4050.9831404997199</v>
      </c>
    </row>
    <row r="349" spans="1:20">
      <c r="A349" s="681">
        <v>45744</v>
      </c>
      <c r="B349" s="678">
        <f t="shared" si="58"/>
        <v>588914.66191563394</v>
      </c>
      <c r="C349" s="678"/>
      <c r="D349" s="678">
        <f t="shared" si="63"/>
        <v>70.185719981726223</v>
      </c>
      <c r="E349" s="678"/>
      <c r="F349" s="678">
        <f t="shared" si="59"/>
        <v>588984.84763561562</v>
      </c>
      <c r="H349" s="681">
        <v>45744</v>
      </c>
      <c r="I349" s="678">
        <f t="shared" si="60"/>
        <v>1578624.216177654</v>
      </c>
      <c r="J349" s="678"/>
      <c r="K349" s="678">
        <f t="shared" si="62"/>
        <v>188.13740658555602</v>
      </c>
      <c r="L349" s="678"/>
      <c r="M349" s="678">
        <f t="shared" si="61"/>
        <v>1578812.3535842395</v>
      </c>
      <c r="O349" s="681">
        <v>45744</v>
      </c>
      <c r="P349" s="678">
        <f t="shared" ref="P349:P412" si="65">+T348</f>
        <v>4050.9831404997199</v>
      </c>
      <c r="Q349" s="678"/>
      <c r="R349" s="678">
        <f t="shared" si="64"/>
        <v>0.48278840167599396</v>
      </c>
      <c r="S349" s="679"/>
      <c r="T349" s="680">
        <f t="shared" ref="T349:T412" si="66">+P349+Q349+R349-S349</f>
        <v>4051.4659289013957</v>
      </c>
    </row>
    <row r="350" spans="1:20">
      <c r="A350" s="681">
        <v>45745</v>
      </c>
      <c r="B350" s="678">
        <f t="shared" si="58"/>
        <v>588984.84763561562</v>
      </c>
      <c r="C350" s="678"/>
      <c r="D350" s="678">
        <f t="shared" si="63"/>
        <v>70.194084581230896</v>
      </c>
      <c r="E350" s="678"/>
      <c r="F350" s="678">
        <f t="shared" si="59"/>
        <v>589055.04172019684</v>
      </c>
      <c r="H350" s="681">
        <v>45745</v>
      </c>
      <c r="I350" s="678">
        <f t="shared" si="60"/>
        <v>1578812.3535842395</v>
      </c>
      <c r="J350" s="678"/>
      <c r="K350" s="678">
        <f t="shared" si="62"/>
        <v>188.15982844086139</v>
      </c>
      <c r="L350" s="678"/>
      <c r="M350" s="678">
        <f t="shared" si="61"/>
        <v>1579000.5134126802</v>
      </c>
      <c r="O350" s="681">
        <v>45745</v>
      </c>
      <c r="P350" s="678">
        <f t="shared" si="65"/>
        <v>4051.4659289013957</v>
      </c>
      <c r="Q350" s="678"/>
      <c r="R350" s="678">
        <f t="shared" si="64"/>
        <v>0.48284593947181015</v>
      </c>
      <c r="S350" s="679"/>
      <c r="T350" s="680">
        <f t="shared" si="66"/>
        <v>4051.9487748408674</v>
      </c>
    </row>
    <row r="351" spans="1:20">
      <c r="A351" s="682">
        <v>45746</v>
      </c>
      <c r="B351" s="678">
        <f t="shared" si="58"/>
        <v>589055.04172019684</v>
      </c>
      <c r="C351" s="678"/>
      <c r="D351" s="678">
        <f t="shared" si="63"/>
        <v>70.202450177612491</v>
      </c>
      <c r="E351" s="678"/>
      <c r="F351" s="678">
        <f t="shared" si="59"/>
        <v>589125.24417037447</v>
      </c>
      <c r="H351" s="682">
        <v>45746</v>
      </c>
      <c r="I351" s="678">
        <f t="shared" si="60"/>
        <v>1579000.5134126802</v>
      </c>
      <c r="J351" s="678"/>
      <c r="K351" s="678">
        <f t="shared" si="62"/>
        <v>188.18225296836053</v>
      </c>
      <c r="L351" s="678"/>
      <c r="M351" s="678">
        <f t="shared" si="61"/>
        <v>1579188.6956656487</v>
      </c>
      <c r="O351" s="682">
        <v>45746</v>
      </c>
      <c r="P351" s="678">
        <f t="shared" si="65"/>
        <v>4051.9487748408674</v>
      </c>
      <c r="Q351" s="678"/>
      <c r="R351" s="678">
        <f t="shared" si="64"/>
        <v>0.48290348412487044</v>
      </c>
      <c r="S351" s="679"/>
      <c r="T351" s="680">
        <f t="shared" si="66"/>
        <v>4052.4316783249924</v>
      </c>
    </row>
    <row r="352" spans="1:20">
      <c r="A352" s="681">
        <v>45747</v>
      </c>
      <c r="B352" s="678">
        <f t="shared" si="58"/>
        <v>589125.24417037447</v>
      </c>
      <c r="C352" s="678"/>
      <c r="D352" s="678">
        <f t="shared" si="63"/>
        <v>70.210816770989837</v>
      </c>
      <c r="E352" s="678">
        <f>+$E$109</f>
        <v>81000.5</v>
      </c>
      <c r="F352" s="678">
        <f t="shared" si="59"/>
        <v>508194.95498714549</v>
      </c>
      <c r="H352" s="681">
        <v>45747</v>
      </c>
      <c r="I352" s="678">
        <f t="shared" si="60"/>
        <v>1579188.6956656487</v>
      </c>
      <c r="J352" s="678"/>
      <c r="K352" s="678">
        <f t="shared" si="62"/>
        <v>188.20468016837182</v>
      </c>
      <c r="L352" s="678"/>
      <c r="M352" s="678">
        <f t="shared" si="61"/>
        <v>1579376.900345817</v>
      </c>
      <c r="O352" s="681">
        <v>45747</v>
      </c>
      <c r="P352" s="678">
        <f t="shared" si="65"/>
        <v>4052.4316783249924</v>
      </c>
      <c r="Q352" s="678"/>
      <c r="R352" s="678">
        <f t="shared" si="64"/>
        <v>0.48296103563599219</v>
      </c>
      <c r="S352" s="679"/>
      <c r="T352" s="680">
        <f t="shared" si="66"/>
        <v>4052.9146393606284</v>
      </c>
    </row>
    <row r="353" spans="1:20">
      <c r="A353" s="681">
        <v>45748</v>
      </c>
      <c r="B353" s="678">
        <f t="shared" si="58"/>
        <v>508194.95498714549</v>
      </c>
      <c r="C353" s="678"/>
      <c r="D353" s="678">
        <f t="shared" si="63"/>
        <v>60.56570011490637</v>
      </c>
      <c r="E353" s="678"/>
      <c r="F353" s="678">
        <f t="shared" si="59"/>
        <v>508255.52068726037</v>
      </c>
      <c r="H353" s="681">
        <v>45748</v>
      </c>
      <c r="I353" s="678">
        <f t="shared" si="60"/>
        <v>1579376.900345817</v>
      </c>
      <c r="J353" s="678"/>
      <c r="K353" s="678">
        <f t="shared" si="62"/>
        <v>188.22711004121382</v>
      </c>
      <c r="L353" s="678"/>
      <c r="M353" s="678">
        <f t="shared" si="61"/>
        <v>1579565.1274558583</v>
      </c>
      <c r="O353" s="681">
        <v>45748</v>
      </c>
      <c r="P353" s="678">
        <f t="shared" si="65"/>
        <v>4052.9146393606284</v>
      </c>
      <c r="Q353" s="678"/>
      <c r="R353" s="678">
        <f t="shared" si="64"/>
        <v>0.48301859400599267</v>
      </c>
      <c r="S353" s="679"/>
      <c r="T353" s="680">
        <f t="shared" si="66"/>
        <v>4053.3976579546343</v>
      </c>
    </row>
    <row r="354" spans="1:20">
      <c r="A354" s="682">
        <v>45749</v>
      </c>
      <c r="B354" s="678">
        <f t="shared" si="58"/>
        <v>508255.52068726037</v>
      </c>
      <c r="C354" s="678"/>
      <c r="D354" s="678">
        <f t="shared" si="63"/>
        <v>60.572918218892667</v>
      </c>
      <c r="E354" s="678"/>
      <c r="F354" s="678">
        <f t="shared" si="59"/>
        <v>508316.09360547928</v>
      </c>
      <c r="H354" s="682">
        <v>45749</v>
      </c>
      <c r="I354" s="678">
        <f t="shared" si="60"/>
        <v>1579565.1274558583</v>
      </c>
      <c r="J354" s="678"/>
      <c r="K354" s="678">
        <f t="shared" si="62"/>
        <v>188.24954258720501</v>
      </c>
      <c r="L354" s="678"/>
      <c r="M354" s="678">
        <f t="shared" si="61"/>
        <v>1579753.3769984455</v>
      </c>
      <c r="O354" s="682">
        <v>45749</v>
      </c>
      <c r="P354" s="678">
        <f t="shared" si="65"/>
        <v>4053.3976579546343</v>
      </c>
      <c r="Q354" s="678"/>
      <c r="R354" s="678">
        <f t="shared" si="64"/>
        <v>0.48307615923568925</v>
      </c>
      <c r="S354" s="679"/>
      <c r="T354" s="680">
        <f t="shared" si="66"/>
        <v>4053.8807341138699</v>
      </c>
    </row>
    <row r="355" spans="1:20">
      <c r="A355" s="681">
        <v>45750</v>
      </c>
      <c r="B355" s="678">
        <f t="shared" si="58"/>
        <v>508316.09360547928</v>
      </c>
      <c r="C355" s="678"/>
      <c r="D355" s="678">
        <f t="shared" si="63"/>
        <v>60.580137183118765</v>
      </c>
      <c r="E355" s="678"/>
      <c r="F355" s="678">
        <f t="shared" si="59"/>
        <v>508376.67374266242</v>
      </c>
      <c r="H355" s="681">
        <v>45750</v>
      </c>
      <c r="I355" s="678">
        <f t="shared" si="60"/>
        <v>1579753.3769984455</v>
      </c>
      <c r="J355" s="678"/>
      <c r="K355" s="678">
        <f t="shared" si="62"/>
        <v>188.27197780666407</v>
      </c>
      <c r="L355" s="678"/>
      <c r="M355" s="678">
        <f t="shared" si="61"/>
        <v>1579941.6489762522</v>
      </c>
      <c r="O355" s="681">
        <v>45750</v>
      </c>
      <c r="P355" s="678">
        <f t="shared" si="65"/>
        <v>4053.8807341138699</v>
      </c>
      <c r="Q355" s="678"/>
      <c r="R355" s="678">
        <f t="shared" si="64"/>
        <v>0.48313373132589954</v>
      </c>
      <c r="S355" s="679"/>
      <c r="T355" s="680">
        <f t="shared" si="66"/>
        <v>4054.3638678451957</v>
      </c>
    </row>
    <row r="356" spans="1:20">
      <c r="A356" s="681">
        <v>45751</v>
      </c>
      <c r="B356" s="678">
        <f t="shared" si="58"/>
        <v>508376.67374266242</v>
      </c>
      <c r="C356" s="678"/>
      <c r="D356" s="678">
        <f t="shared" si="63"/>
        <v>60.58735700768716</v>
      </c>
      <c r="E356" s="678"/>
      <c r="F356" s="678">
        <f t="shared" si="59"/>
        <v>508437.26109967008</v>
      </c>
      <c r="H356" s="681">
        <v>45751</v>
      </c>
      <c r="I356" s="678">
        <f t="shared" si="60"/>
        <v>1579941.6489762522</v>
      </c>
      <c r="J356" s="678"/>
      <c r="K356" s="678">
        <f t="shared" si="62"/>
        <v>188.29441569990951</v>
      </c>
      <c r="L356" s="678"/>
      <c r="M356" s="678">
        <f t="shared" si="61"/>
        <v>1580129.9433919522</v>
      </c>
      <c r="O356" s="681">
        <v>45751</v>
      </c>
      <c r="P356" s="678">
        <f t="shared" si="65"/>
        <v>4054.3638678451957</v>
      </c>
      <c r="Q356" s="678"/>
      <c r="R356" s="678">
        <f t="shared" si="64"/>
        <v>0.48319131027744111</v>
      </c>
      <c r="S356" s="679"/>
      <c r="T356" s="680">
        <f t="shared" si="66"/>
        <v>4054.8470591554733</v>
      </c>
    </row>
    <row r="357" spans="1:20">
      <c r="A357" s="682">
        <v>45752</v>
      </c>
      <c r="B357" s="678">
        <f t="shared" si="58"/>
        <v>508437.26109967008</v>
      </c>
      <c r="C357" s="678"/>
      <c r="D357" s="678">
        <f t="shared" si="63"/>
        <v>60.594577692700405</v>
      </c>
      <c r="E357" s="678"/>
      <c r="F357" s="678">
        <f t="shared" si="59"/>
        <v>508497.85567736276</v>
      </c>
      <c r="H357" s="682">
        <v>45752</v>
      </c>
      <c r="I357" s="678">
        <f t="shared" si="60"/>
        <v>1580129.9433919522</v>
      </c>
      <c r="J357" s="678"/>
      <c r="K357" s="678">
        <f t="shared" si="62"/>
        <v>188.31685626726005</v>
      </c>
      <c r="L357" s="678"/>
      <c r="M357" s="678">
        <f t="shared" si="61"/>
        <v>1580318.2602482194</v>
      </c>
      <c r="O357" s="682">
        <v>45752</v>
      </c>
      <c r="P357" s="678">
        <f t="shared" si="65"/>
        <v>4054.8470591554733</v>
      </c>
      <c r="Q357" s="678"/>
      <c r="R357" s="678">
        <f t="shared" si="64"/>
        <v>0.4832488960911317</v>
      </c>
      <c r="S357" s="679">
        <f>+P357/3</f>
        <v>1351.6156863851577</v>
      </c>
      <c r="T357" s="680">
        <f t="shared" si="66"/>
        <v>2703.7146216664069</v>
      </c>
    </row>
    <row r="358" spans="1:20">
      <c r="A358" s="681">
        <v>45753</v>
      </c>
      <c r="B358" s="678">
        <f t="shared" si="58"/>
        <v>508497.85567736276</v>
      </c>
      <c r="C358" s="678"/>
      <c r="D358" s="678">
        <f t="shared" si="63"/>
        <v>60.601799238261037</v>
      </c>
      <c r="E358" s="678"/>
      <c r="F358" s="678">
        <f t="shared" si="59"/>
        <v>508558.457476601</v>
      </c>
      <c r="H358" s="681">
        <v>45753</v>
      </c>
      <c r="I358" s="678">
        <f t="shared" si="60"/>
        <v>1580318.2602482194</v>
      </c>
      <c r="J358" s="678"/>
      <c r="K358" s="678">
        <f t="shared" si="62"/>
        <v>188.33929950903433</v>
      </c>
      <c r="L358" s="678"/>
      <c r="M358" s="678">
        <f t="shared" si="61"/>
        <v>1580506.5995477284</v>
      </c>
      <c r="O358" s="681">
        <v>45753</v>
      </c>
      <c r="P358" s="678">
        <f t="shared" si="65"/>
        <v>2703.7146216664069</v>
      </c>
      <c r="Q358" s="678"/>
      <c r="R358" s="678">
        <f t="shared" si="64"/>
        <v>0.32222352340407862</v>
      </c>
      <c r="S358" s="679"/>
      <c r="T358" s="680">
        <f t="shared" si="66"/>
        <v>2704.0368451898107</v>
      </c>
    </row>
    <row r="359" spans="1:20">
      <c r="A359" s="681">
        <v>45754</v>
      </c>
      <c r="B359" s="678">
        <f t="shared" si="58"/>
        <v>508558.457476601</v>
      </c>
      <c r="C359" s="678"/>
      <c r="D359" s="678">
        <f t="shared" si="63"/>
        <v>60.609021644471625</v>
      </c>
      <c r="E359" s="678"/>
      <c r="F359" s="678">
        <f t="shared" si="59"/>
        <v>508619.06649824546</v>
      </c>
      <c r="H359" s="681">
        <v>45754</v>
      </c>
      <c r="I359" s="678">
        <f t="shared" si="60"/>
        <v>1580506.5995477284</v>
      </c>
      <c r="J359" s="678"/>
      <c r="K359" s="678">
        <f t="shared" si="62"/>
        <v>188.36174542555116</v>
      </c>
      <c r="L359" s="678"/>
      <c r="M359" s="678">
        <f t="shared" si="61"/>
        <v>1580694.9612931539</v>
      </c>
      <c r="O359" s="681">
        <v>45754</v>
      </c>
      <c r="P359" s="678">
        <f t="shared" si="65"/>
        <v>2704.0368451898107</v>
      </c>
      <c r="Q359" s="678"/>
      <c r="R359" s="678">
        <f t="shared" si="64"/>
        <v>0.32226192538563492</v>
      </c>
      <c r="S359" s="679"/>
      <c r="T359" s="680">
        <f t="shared" si="66"/>
        <v>2704.3591071151964</v>
      </c>
    </row>
    <row r="360" spans="1:20">
      <c r="A360" s="682">
        <v>45755</v>
      </c>
      <c r="B360" s="678">
        <f t="shared" si="58"/>
        <v>508619.06649824546</v>
      </c>
      <c r="C360" s="678"/>
      <c r="D360" s="678">
        <f t="shared" si="63"/>
        <v>60.616244911434727</v>
      </c>
      <c r="E360" s="678"/>
      <c r="F360" s="678">
        <f t="shared" si="59"/>
        <v>508679.68274315691</v>
      </c>
      <c r="H360" s="682">
        <v>45755</v>
      </c>
      <c r="I360" s="678">
        <f t="shared" si="60"/>
        <v>1580694.9612931539</v>
      </c>
      <c r="J360" s="678"/>
      <c r="K360" s="678">
        <f t="shared" si="62"/>
        <v>188.38419401712929</v>
      </c>
      <c r="L360" s="678"/>
      <c r="M360" s="678">
        <f t="shared" si="61"/>
        <v>1580883.3454871711</v>
      </c>
      <c r="O360" s="682">
        <v>45755</v>
      </c>
      <c r="P360" s="678">
        <f t="shared" si="65"/>
        <v>2704.3591071151964</v>
      </c>
      <c r="Q360" s="678"/>
      <c r="R360" s="678">
        <f t="shared" si="64"/>
        <v>0.32230033194386587</v>
      </c>
      <c r="S360" s="679"/>
      <c r="T360" s="680">
        <f t="shared" si="66"/>
        <v>2704.6814074471404</v>
      </c>
    </row>
    <row r="361" spans="1:20">
      <c r="A361" s="681">
        <v>45756</v>
      </c>
      <c r="B361" s="678">
        <f t="shared" si="58"/>
        <v>508679.68274315691</v>
      </c>
      <c r="C361" s="678"/>
      <c r="D361" s="678">
        <f t="shared" si="63"/>
        <v>60.623469039252946</v>
      </c>
      <c r="E361" s="678"/>
      <c r="F361" s="678">
        <f t="shared" si="59"/>
        <v>508740.30621219618</v>
      </c>
      <c r="H361" s="681">
        <v>45756</v>
      </c>
      <c r="I361" s="678">
        <f t="shared" si="60"/>
        <v>1580883.3454871711</v>
      </c>
      <c r="J361" s="678"/>
      <c r="K361" s="678">
        <f t="shared" si="62"/>
        <v>188.40664528408749</v>
      </c>
      <c r="L361" s="678"/>
      <c r="M361" s="678">
        <f t="shared" si="61"/>
        <v>1581071.7521324551</v>
      </c>
      <c r="O361" s="681">
        <v>45756</v>
      </c>
      <c r="P361" s="678">
        <f t="shared" si="65"/>
        <v>2704.6814074471404</v>
      </c>
      <c r="Q361" s="678"/>
      <c r="R361" s="678">
        <f t="shared" si="64"/>
        <v>0.3223387430793167</v>
      </c>
      <c r="S361" s="679"/>
      <c r="T361" s="680">
        <f t="shared" si="66"/>
        <v>2705.0037461902198</v>
      </c>
    </row>
    <row r="362" spans="1:20">
      <c r="A362" s="681">
        <v>45757</v>
      </c>
      <c r="B362" s="678">
        <f t="shared" si="58"/>
        <v>508740.30621219618</v>
      </c>
      <c r="C362" s="678"/>
      <c r="D362" s="678">
        <f t="shared" si="63"/>
        <v>60.630694028028856</v>
      </c>
      <c r="E362" s="678"/>
      <c r="F362" s="678">
        <f t="shared" si="59"/>
        <v>508800.93690622423</v>
      </c>
      <c r="H362" s="681">
        <v>45757</v>
      </c>
      <c r="I362" s="678">
        <f t="shared" si="60"/>
        <v>1581071.7521324551</v>
      </c>
      <c r="J362" s="678"/>
      <c r="K362" s="678">
        <f t="shared" si="62"/>
        <v>188.42909922674465</v>
      </c>
      <c r="L362" s="678"/>
      <c r="M362" s="678">
        <f t="shared" si="61"/>
        <v>1581260.181231682</v>
      </c>
      <c r="O362" s="681">
        <v>45757</v>
      </c>
      <c r="P362" s="678">
        <f t="shared" si="65"/>
        <v>2705.0037461902198</v>
      </c>
      <c r="Q362" s="678"/>
      <c r="R362" s="678">
        <f t="shared" si="64"/>
        <v>0.32237715879253304</v>
      </c>
      <c r="S362" s="679"/>
      <c r="T362" s="680">
        <f t="shared" si="66"/>
        <v>2705.3261233490125</v>
      </c>
    </row>
    <row r="363" spans="1:20">
      <c r="A363" s="682">
        <v>45758</v>
      </c>
      <c r="B363" s="678">
        <f t="shared" si="58"/>
        <v>508800.93690622423</v>
      </c>
      <c r="C363" s="678"/>
      <c r="D363" s="678">
        <f t="shared" si="63"/>
        <v>60.637919877865073</v>
      </c>
      <c r="E363" s="678"/>
      <c r="F363" s="678">
        <f t="shared" si="59"/>
        <v>508861.57482610212</v>
      </c>
      <c r="H363" s="682">
        <v>45758</v>
      </c>
      <c r="I363" s="678">
        <f t="shared" si="60"/>
        <v>1581260.181231682</v>
      </c>
      <c r="J363" s="678"/>
      <c r="K363" s="678">
        <f t="shared" si="62"/>
        <v>188.45155584541962</v>
      </c>
      <c r="L363" s="678"/>
      <c r="M363" s="678">
        <f t="shared" si="61"/>
        <v>1581448.6327875273</v>
      </c>
      <c r="O363" s="682">
        <v>45758</v>
      </c>
      <c r="P363" s="678">
        <f t="shared" si="65"/>
        <v>2705.3261233490125</v>
      </c>
      <c r="Q363" s="678"/>
      <c r="R363" s="678">
        <f t="shared" si="64"/>
        <v>0.32241557908406038</v>
      </c>
      <c r="S363" s="679"/>
      <c r="T363" s="680">
        <f t="shared" si="66"/>
        <v>2705.6485389280965</v>
      </c>
    </row>
    <row r="364" spans="1:20">
      <c r="A364" s="681">
        <v>45759</v>
      </c>
      <c r="B364" s="678">
        <f t="shared" si="58"/>
        <v>508861.57482610212</v>
      </c>
      <c r="C364" s="678"/>
      <c r="D364" s="678">
        <f t="shared" si="63"/>
        <v>60.645146588864215</v>
      </c>
      <c r="E364" s="678"/>
      <c r="F364" s="678">
        <f t="shared" si="59"/>
        <v>508922.21997269097</v>
      </c>
      <c r="H364" s="681">
        <v>45759</v>
      </c>
      <c r="I364" s="678">
        <f t="shared" si="60"/>
        <v>1581448.6327875273</v>
      </c>
      <c r="J364" s="678"/>
      <c r="K364" s="678">
        <f t="shared" si="62"/>
        <v>188.47401514043131</v>
      </c>
      <c r="L364" s="678"/>
      <c r="M364" s="678">
        <f t="shared" si="61"/>
        <v>1581637.1068026677</v>
      </c>
      <c r="O364" s="681">
        <v>45759</v>
      </c>
      <c r="P364" s="678">
        <f t="shared" si="65"/>
        <v>2705.6485389280965</v>
      </c>
      <c r="Q364" s="678"/>
      <c r="R364" s="678">
        <f t="shared" si="64"/>
        <v>0.32245400395444435</v>
      </c>
      <c r="S364" s="679"/>
      <c r="T364" s="680">
        <f t="shared" si="66"/>
        <v>2705.9709929320511</v>
      </c>
    </row>
    <row r="365" spans="1:20">
      <c r="A365" s="681">
        <v>45760</v>
      </c>
      <c r="B365" s="678">
        <f t="shared" si="58"/>
        <v>508922.21997269097</v>
      </c>
      <c r="C365" s="678"/>
      <c r="D365" s="678">
        <f t="shared" si="63"/>
        <v>60.652374161128918</v>
      </c>
      <c r="E365" s="678"/>
      <c r="F365" s="678">
        <f t="shared" si="59"/>
        <v>508982.87234685209</v>
      </c>
      <c r="H365" s="681">
        <v>45760</v>
      </c>
      <c r="I365" s="678">
        <f t="shared" si="60"/>
        <v>1581637.1068026677</v>
      </c>
      <c r="J365" s="678"/>
      <c r="K365" s="678">
        <f t="shared" si="62"/>
        <v>188.49647711209877</v>
      </c>
      <c r="L365" s="678"/>
      <c r="M365" s="678">
        <f t="shared" si="61"/>
        <v>1581825.6032797799</v>
      </c>
      <c r="O365" s="681">
        <v>45760</v>
      </c>
      <c r="P365" s="678">
        <f t="shared" si="65"/>
        <v>2705.9709929320511</v>
      </c>
      <c r="Q365" s="678"/>
      <c r="R365" s="678">
        <f t="shared" si="64"/>
        <v>0.32249243340423073</v>
      </c>
      <c r="S365" s="679"/>
      <c r="T365" s="680">
        <f t="shared" si="66"/>
        <v>2706.2934853654551</v>
      </c>
    </row>
    <row r="366" spans="1:20">
      <c r="A366" s="682">
        <v>45761</v>
      </c>
      <c r="B366" s="678">
        <f t="shared" si="58"/>
        <v>508982.87234685209</v>
      </c>
      <c r="C366" s="678"/>
      <c r="D366" s="678">
        <f t="shared" si="63"/>
        <v>60.659602594761822</v>
      </c>
      <c r="E366" s="678"/>
      <c r="F366" s="678">
        <f t="shared" si="59"/>
        <v>509043.53194944683</v>
      </c>
      <c r="H366" s="682">
        <v>45761</v>
      </c>
      <c r="I366" s="678">
        <f t="shared" si="60"/>
        <v>1581825.6032797799</v>
      </c>
      <c r="J366" s="678"/>
      <c r="K366" s="678">
        <f t="shared" si="62"/>
        <v>188.51894176074089</v>
      </c>
      <c r="L366" s="678"/>
      <c r="M366" s="678">
        <f t="shared" si="61"/>
        <v>1582014.1222215407</v>
      </c>
      <c r="O366" s="682">
        <v>45761</v>
      </c>
      <c r="P366" s="678">
        <f t="shared" si="65"/>
        <v>2706.2934853654551</v>
      </c>
      <c r="Q366" s="678"/>
      <c r="R366" s="678">
        <f t="shared" si="64"/>
        <v>0.3225308674339652</v>
      </c>
      <c r="S366" s="679"/>
      <c r="T366" s="680">
        <f t="shared" si="66"/>
        <v>2706.6160162328893</v>
      </c>
    </row>
    <row r="367" spans="1:20">
      <c r="A367" s="681">
        <v>45762</v>
      </c>
      <c r="B367" s="678">
        <f t="shared" si="58"/>
        <v>509043.53194944683</v>
      </c>
      <c r="C367" s="678">
        <f>SUM($D$451+$D$452+$D$453)/12</f>
        <v>73029.166666666672</v>
      </c>
      <c r="D367" s="678">
        <f t="shared" si="63"/>
        <v>60.666831889865577</v>
      </c>
      <c r="E367" s="678"/>
      <c r="F367" s="678">
        <f t="shared" si="59"/>
        <v>582133.3654480034</v>
      </c>
      <c r="H367" s="681">
        <v>45762</v>
      </c>
      <c r="I367" s="678">
        <f t="shared" si="60"/>
        <v>1582014.1222215407</v>
      </c>
      <c r="J367" s="678"/>
      <c r="K367" s="678">
        <f t="shared" si="62"/>
        <v>188.54140908667677</v>
      </c>
      <c r="L367" s="678"/>
      <c r="M367" s="678">
        <f t="shared" si="61"/>
        <v>1582202.6636306273</v>
      </c>
      <c r="O367" s="681">
        <v>45762</v>
      </c>
      <c r="P367" s="678">
        <f t="shared" si="65"/>
        <v>2706.6160162328893</v>
      </c>
      <c r="Q367" s="678"/>
      <c r="R367" s="678">
        <f t="shared" si="64"/>
        <v>0.32256930604419365</v>
      </c>
      <c r="S367" s="679"/>
      <c r="T367" s="680">
        <f t="shared" si="66"/>
        <v>2706.9385855389332</v>
      </c>
    </row>
    <row r="368" spans="1:20">
      <c r="A368" s="681">
        <v>45763</v>
      </c>
      <c r="B368" s="678">
        <f t="shared" si="58"/>
        <v>582133.3654480034</v>
      </c>
      <c r="C368" s="678"/>
      <c r="D368" s="678">
        <f t="shared" si="63"/>
        <v>69.37753807394013</v>
      </c>
      <c r="E368" s="678"/>
      <c r="F368" s="678">
        <f t="shared" si="59"/>
        <v>582202.74298607733</v>
      </c>
      <c r="H368" s="681">
        <v>45763</v>
      </c>
      <c r="I368" s="678">
        <f t="shared" si="60"/>
        <v>1582202.6636306273</v>
      </c>
      <c r="J368" s="678"/>
      <c r="K368" s="678">
        <f t="shared" si="62"/>
        <v>188.56387909022541</v>
      </c>
      <c r="L368" s="678"/>
      <c r="M368" s="678">
        <f t="shared" si="61"/>
        <v>1582391.2275097175</v>
      </c>
      <c r="O368" s="681">
        <v>45763</v>
      </c>
      <c r="P368" s="678">
        <f t="shared" si="65"/>
        <v>2706.9385855389332</v>
      </c>
      <c r="Q368" s="678"/>
      <c r="R368" s="678">
        <f t="shared" si="64"/>
        <v>0.32260774923546187</v>
      </c>
      <c r="S368" s="679"/>
      <c r="T368" s="680">
        <f t="shared" si="66"/>
        <v>2707.2611932881687</v>
      </c>
    </row>
    <row r="369" spans="1:20">
      <c r="A369" s="682">
        <v>45764</v>
      </c>
      <c r="B369" s="678">
        <f t="shared" si="58"/>
        <v>582202.74298607733</v>
      </c>
      <c r="C369" s="678"/>
      <c r="D369" s="678">
        <f t="shared" si="63"/>
        <v>69.385806355874962</v>
      </c>
      <c r="E369" s="678"/>
      <c r="F369" s="678">
        <f t="shared" si="59"/>
        <v>582272.12879243318</v>
      </c>
      <c r="H369" s="682">
        <v>45764</v>
      </c>
      <c r="I369" s="678">
        <f t="shared" si="60"/>
        <v>1582391.2275097175</v>
      </c>
      <c r="J369" s="678"/>
      <c r="K369" s="678">
        <f t="shared" si="62"/>
        <v>188.58635177170603</v>
      </c>
      <c r="L369" s="678"/>
      <c r="M369" s="678">
        <f t="shared" si="61"/>
        <v>1582579.8138614891</v>
      </c>
      <c r="O369" s="682">
        <v>45764</v>
      </c>
      <c r="P369" s="678">
        <f t="shared" si="65"/>
        <v>2707.2611932881687</v>
      </c>
      <c r="Q369" s="678"/>
      <c r="R369" s="678">
        <f t="shared" si="64"/>
        <v>0.32264619700831598</v>
      </c>
      <c r="S369" s="679"/>
      <c r="T369" s="680">
        <f t="shared" si="66"/>
        <v>2707.5838394851771</v>
      </c>
    </row>
    <row r="370" spans="1:20">
      <c r="A370" s="681">
        <v>45765</v>
      </c>
      <c r="B370" s="678">
        <f t="shared" si="58"/>
        <v>582272.12879243318</v>
      </c>
      <c r="C370" s="678"/>
      <c r="D370" s="678">
        <f t="shared" si="63"/>
        <v>69.394075623207783</v>
      </c>
      <c r="E370" s="678"/>
      <c r="F370" s="678">
        <f t="shared" si="59"/>
        <v>582341.52286805643</v>
      </c>
      <c r="H370" s="681">
        <v>45765</v>
      </c>
      <c r="I370" s="678">
        <f t="shared" si="60"/>
        <v>1582579.8138614891</v>
      </c>
      <c r="J370" s="678"/>
      <c r="K370" s="678">
        <f t="shared" si="62"/>
        <v>188.60882713143772</v>
      </c>
      <c r="L370" s="678"/>
      <c r="M370" s="678">
        <f t="shared" si="61"/>
        <v>1582768.4226886204</v>
      </c>
      <c r="O370" s="681">
        <v>45765</v>
      </c>
      <c r="P370" s="678">
        <f t="shared" si="65"/>
        <v>2707.5838394851771</v>
      </c>
      <c r="Q370" s="678"/>
      <c r="R370" s="678">
        <f t="shared" si="64"/>
        <v>0.32268464936330188</v>
      </c>
      <c r="S370" s="679"/>
      <c r="T370" s="680">
        <f t="shared" si="66"/>
        <v>2707.9065241345406</v>
      </c>
    </row>
    <row r="371" spans="1:20">
      <c r="A371" s="681">
        <v>45766</v>
      </c>
      <c r="B371" s="678">
        <f t="shared" si="58"/>
        <v>582341.52286805643</v>
      </c>
      <c r="C371" s="678"/>
      <c r="D371" s="678">
        <f t="shared" si="63"/>
        <v>69.402345876056032</v>
      </c>
      <c r="E371" s="678"/>
      <c r="F371" s="678">
        <f t="shared" si="59"/>
        <v>582410.92521393253</v>
      </c>
      <c r="H371" s="681">
        <v>45766</v>
      </c>
      <c r="I371" s="678">
        <f t="shared" si="60"/>
        <v>1582768.4226886204</v>
      </c>
      <c r="J371" s="678"/>
      <c r="K371" s="678">
        <f t="shared" si="62"/>
        <v>188.63130516973965</v>
      </c>
      <c r="L371" s="678"/>
      <c r="M371" s="678">
        <f t="shared" si="61"/>
        <v>1582957.0539937902</v>
      </c>
      <c r="O371" s="681">
        <v>45766</v>
      </c>
      <c r="P371" s="678">
        <f t="shared" si="65"/>
        <v>2707.9065241345406</v>
      </c>
      <c r="Q371" s="678"/>
      <c r="R371" s="678">
        <f t="shared" si="64"/>
        <v>0.32272310630096579</v>
      </c>
      <c r="S371" s="679"/>
      <c r="T371" s="680">
        <f t="shared" si="66"/>
        <v>2708.2292472408417</v>
      </c>
    </row>
    <row r="372" spans="1:20">
      <c r="A372" s="682">
        <v>45767</v>
      </c>
      <c r="B372" s="678">
        <f t="shared" si="58"/>
        <v>582410.92521393253</v>
      </c>
      <c r="C372" s="678"/>
      <c r="D372" s="678">
        <f t="shared" si="63"/>
        <v>69.41061711453716</v>
      </c>
      <c r="E372" s="678"/>
      <c r="F372" s="678">
        <f t="shared" si="59"/>
        <v>582480.33583104704</v>
      </c>
      <c r="H372" s="682">
        <v>45767</v>
      </c>
      <c r="I372" s="678">
        <f t="shared" si="60"/>
        <v>1582957.0539937902</v>
      </c>
      <c r="J372" s="678"/>
      <c r="K372" s="678">
        <f t="shared" si="62"/>
        <v>188.65378588693116</v>
      </c>
      <c r="L372" s="678"/>
      <c r="M372" s="678">
        <f t="shared" si="61"/>
        <v>1583145.7077796771</v>
      </c>
      <c r="O372" s="682">
        <v>45767</v>
      </c>
      <c r="P372" s="678">
        <f t="shared" si="65"/>
        <v>2708.2292472408417</v>
      </c>
      <c r="Q372" s="678"/>
      <c r="R372" s="678">
        <f t="shared" si="64"/>
        <v>0.32276156782185372</v>
      </c>
      <c r="S372" s="679"/>
      <c r="T372" s="680">
        <f t="shared" si="66"/>
        <v>2708.5520088086637</v>
      </c>
    </row>
    <row r="373" spans="1:20">
      <c r="A373" s="681">
        <v>45768</v>
      </c>
      <c r="B373" s="678">
        <f t="shared" si="58"/>
        <v>582480.33583104704</v>
      </c>
      <c r="C373" s="678"/>
      <c r="D373" s="678">
        <f t="shared" si="63"/>
        <v>69.418889338768622</v>
      </c>
      <c r="E373" s="678"/>
      <c r="F373" s="678">
        <f t="shared" si="59"/>
        <v>582549.75472038577</v>
      </c>
      <c r="H373" s="681">
        <v>45768</v>
      </c>
      <c r="I373" s="678">
        <f t="shared" si="60"/>
        <v>1583145.7077796771</v>
      </c>
      <c r="J373" s="678"/>
      <c r="K373" s="678">
        <f t="shared" si="62"/>
        <v>188.67626928333138</v>
      </c>
      <c r="L373" s="678"/>
      <c r="M373" s="678">
        <f t="shared" si="61"/>
        <v>1583334.3840489604</v>
      </c>
      <c r="O373" s="681">
        <v>45768</v>
      </c>
      <c r="P373" s="678">
        <f t="shared" si="65"/>
        <v>2708.5520088086637</v>
      </c>
      <c r="Q373" s="678"/>
      <c r="R373" s="678">
        <f t="shared" si="64"/>
        <v>0.32280003392651196</v>
      </c>
      <c r="S373" s="679"/>
      <c r="T373" s="680">
        <f t="shared" si="66"/>
        <v>2708.87480884259</v>
      </c>
    </row>
    <row r="374" spans="1:20">
      <c r="A374" s="681">
        <v>45769</v>
      </c>
      <c r="B374" s="678">
        <f t="shared" si="58"/>
        <v>582549.75472038577</v>
      </c>
      <c r="C374" s="678"/>
      <c r="D374" s="678">
        <f t="shared" si="63"/>
        <v>69.427162548867884</v>
      </c>
      <c r="E374" s="678"/>
      <c r="F374" s="678">
        <f t="shared" si="59"/>
        <v>582619.18188293464</v>
      </c>
      <c r="H374" s="681">
        <v>45769</v>
      </c>
      <c r="I374" s="678">
        <f t="shared" si="60"/>
        <v>1583334.3840489604</v>
      </c>
      <c r="J374" s="678"/>
      <c r="K374" s="678">
        <f t="shared" si="62"/>
        <v>188.69875535925968</v>
      </c>
      <c r="L374" s="678"/>
      <c r="M374" s="678">
        <f t="shared" si="61"/>
        <v>1583523.0828043197</v>
      </c>
      <c r="O374" s="681">
        <v>45769</v>
      </c>
      <c r="P374" s="678">
        <f t="shared" si="65"/>
        <v>2708.87480884259</v>
      </c>
      <c r="Q374" s="678"/>
      <c r="R374" s="678">
        <f t="shared" si="64"/>
        <v>0.32283850461548674</v>
      </c>
      <c r="S374" s="679"/>
      <c r="T374" s="680">
        <f t="shared" si="66"/>
        <v>2709.1976473472055</v>
      </c>
    </row>
    <row r="375" spans="1:20">
      <c r="A375" s="682">
        <v>45770</v>
      </c>
      <c r="B375" s="678">
        <f t="shared" si="58"/>
        <v>582619.18188293464</v>
      </c>
      <c r="C375" s="678"/>
      <c r="D375" s="678">
        <f t="shared" si="63"/>
        <v>69.435436744952483</v>
      </c>
      <c r="E375" s="678"/>
      <c r="F375" s="678">
        <f t="shared" si="59"/>
        <v>582688.61731967959</v>
      </c>
      <c r="H375" s="682">
        <v>45770</v>
      </c>
      <c r="I375" s="678">
        <f t="shared" si="60"/>
        <v>1583523.0828043197</v>
      </c>
      <c r="J375" s="678"/>
      <c r="K375" s="678">
        <f t="shared" si="62"/>
        <v>188.72124411503535</v>
      </c>
      <c r="L375" s="678"/>
      <c r="M375" s="678">
        <f t="shared" si="61"/>
        <v>1583711.8040484348</v>
      </c>
      <c r="O375" s="682">
        <v>45770</v>
      </c>
      <c r="P375" s="678">
        <f t="shared" si="65"/>
        <v>2709.1976473472055</v>
      </c>
      <c r="Q375" s="678"/>
      <c r="R375" s="678">
        <f t="shared" si="64"/>
        <v>0.32287697988932446</v>
      </c>
      <c r="S375" s="679"/>
      <c r="T375" s="680">
        <f t="shared" si="66"/>
        <v>2709.5205243270948</v>
      </c>
    </row>
    <row r="376" spans="1:20">
      <c r="A376" s="681">
        <v>45771</v>
      </c>
      <c r="B376" s="678">
        <f t="shared" si="58"/>
        <v>582688.61731967959</v>
      </c>
      <c r="C376" s="678"/>
      <c r="D376" s="678">
        <f t="shared" si="63"/>
        <v>69.443711927139887</v>
      </c>
      <c r="E376" s="678"/>
      <c r="F376" s="678">
        <f t="shared" si="59"/>
        <v>582758.06103160675</v>
      </c>
      <c r="H376" s="681">
        <v>45771</v>
      </c>
      <c r="I376" s="678">
        <f t="shared" si="60"/>
        <v>1583711.8040484348</v>
      </c>
      <c r="J376" s="678"/>
      <c r="K376" s="678">
        <f t="shared" si="62"/>
        <v>188.74373555097785</v>
      </c>
      <c r="L376" s="678"/>
      <c r="M376" s="678">
        <f t="shared" si="61"/>
        <v>1583900.5477839857</v>
      </c>
      <c r="O376" s="681">
        <v>45771</v>
      </c>
      <c r="P376" s="678">
        <f t="shared" si="65"/>
        <v>2709.5205243270948</v>
      </c>
      <c r="Q376" s="678"/>
      <c r="R376" s="678">
        <f t="shared" si="64"/>
        <v>0.32291545974857155</v>
      </c>
      <c r="S376" s="679"/>
      <c r="T376" s="680">
        <f t="shared" si="66"/>
        <v>2709.8434397868432</v>
      </c>
    </row>
    <row r="377" spans="1:20">
      <c r="A377" s="681">
        <v>45772</v>
      </c>
      <c r="B377" s="678">
        <f t="shared" si="58"/>
        <v>582758.06103160675</v>
      </c>
      <c r="C377" s="678"/>
      <c r="D377" s="678">
        <f t="shared" si="63"/>
        <v>69.451988095547648</v>
      </c>
      <c r="E377" s="678"/>
      <c r="F377" s="678">
        <f t="shared" si="59"/>
        <v>582827.51301970228</v>
      </c>
      <c r="H377" s="681">
        <v>45772</v>
      </c>
      <c r="I377" s="678">
        <f t="shared" si="60"/>
        <v>1583900.5477839857</v>
      </c>
      <c r="J377" s="678"/>
      <c r="K377" s="678">
        <f t="shared" si="62"/>
        <v>188.76622966740652</v>
      </c>
      <c r="L377" s="678"/>
      <c r="M377" s="678">
        <f t="shared" si="61"/>
        <v>1584089.3140136532</v>
      </c>
      <c r="O377" s="681">
        <v>45772</v>
      </c>
      <c r="P377" s="678">
        <f t="shared" si="65"/>
        <v>2709.8434397868432</v>
      </c>
      <c r="Q377" s="678"/>
      <c r="R377" s="678">
        <f t="shared" si="64"/>
        <v>0.32295394419377443</v>
      </c>
      <c r="S377" s="679"/>
      <c r="T377" s="680">
        <f t="shared" si="66"/>
        <v>2710.1663937310368</v>
      </c>
    </row>
    <row r="378" spans="1:20">
      <c r="A378" s="682">
        <v>45773</v>
      </c>
      <c r="B378" s="678">
        <f t="shared" si="58"/>
        <v>582827.51301970228</v>
      </c>
      <c r="C378" s="678"/>
      <c r="D378" s="678">
        <f t="shared" si="63"/>
        <v>69.46026525029329</v>
      </c>
      <c r="E378" s="678"/>
      <c r="F378" s="678">
        <f t="shared" si="59"/>
        <v>582896.97328495258</v>
      </c>
      <c r="H378" s="682">
        <v>45773</v>
      </c>
      <c r="I378" s="678">
        <f t="shared" si="60"/>
        <v>1584089.3140136532</v>
      </c>
      <c r="J378" s="678"/>
      <c r="K378" s="678">
        <f t="shared" si="62"/>
        <v>188.78872646464083</v>
      </c>
      <c r="L378" s="678"/>
      <c r="M378" s="678">
        <f t="shared" si="61"/>
        <v>1584278.1027401178</v>
      </c>
      <c r="O378" s="682">
        <v>45773</v>
      </c>
      <c r="P378" s="678">
        <f t="shared" si="65"/>
        <v>2710.1663937310368</v>
      </c>
      <c r="Q378" s="678"/>
      <c r="R378" s="678">
        <f t="shared" si="64"/>
        <v>0.32299243322547971</v>
      </c>
      <c r="S378" s="679"/>
      <c r="T378" s="680">
        <f t="shared" si="66"/>
        <v>2710.4893861642622</v>
      </c>
    </row>
    <row r="379" spans="1:20">
      <c r="A379" s="681">
        <v>45774</v>
      </c>
      <c r="B379" s="678">
        <f t="shared" si="58"/>
        <v>582896.97328495258</v>
      </c>
      <c r="C379" s="678"/>
      <c r="D379" s="678">
        <f t="shared" si="63"/>
        <v>69.46854339149435</v>
      </c>
      <c r="E379" s="678"/>
      <c r="F379" s="678">
        <f t="shared" si="59"/>
        <v>582966.44182834402</v>
      </c>
      <c r="H379" s="681">
        <v>45774</v>
      </c>
      <c r="I379" s="678">
        <f t="shared" si="60"/>
        <v>1584278.1027401178</v>
      </c>
      <c r="J379" s="678"/>
      <c r="K379" s="678">
        <f t="shared" si="62"/>
        <v>188.81122594300035</v>
      </c>
      <c r="L379" s="678"/>
      <c r="M379" s="678">
        <f t="shared" si="61"/>
        <v>1584466.9139660608</v>
      </c>
      <c r="O379" s="681">
        <v>45774</v>
      </c>
      <c r="P379" s="678">
        <f t="shared" si="65"/>
        <v>2710.4893861642622</v>
      </c>
      <c r="Q379" s="678"/>
      <c r="R379" s="678">
        <f t="shared" si="64"/>
        <v>0.32303092684423396</v>
      </c>
      <c r="S379" s="679"/>
      <c r="T379" s="680">
        <f t="shared" si="66"/>
        <v>2710.8124170911065</v>
      </c>
    </row>
    <row r="380" spans="1:20">
      <c r="A380" s="681">
        <v>45775</v>
      </c>
      <c r="B380" s="678">
        <f t="shared" si="58"/>
        <v>582966.44182834402</v>
      </c>
      <c r="C380" s="678"/>
      <c r="D380" s="678">
        <f t="shared" si="63"/>
        <v>69.476822519268396</v>
      </c>
      <c r="E380" s="678"/>
      <c r="F380" s="678">
        <f t="shared" si="59"/>
        <v>583035.91865086334</v>
      </c>
      <c r="H380" s="681">
        <v>45775</v>
      </c>
      <c r="I380" s="678">
        <f t="shared" si="60"/>
        <v>1584466.9139660608</v>
      </c>
      <c r="J380" s="678"/>
      <c r="K380" s="678">
        <f t="shared" si="62"/>
        <v>188.83372810280449</v>
      </c>
      <c r="L380" s="678"/>
      <c r="M380" s="678">
        <f t="shared" si="61"/>
        <v>1584655.7476941636</v>
      </c>
      <c r="O380" s="681">
        <v>45775</v>
      </c>
      <c r="P380" s="678">
        <f t="shared" si="65"/>
        <v>2710.8124170911065</v>
      </c>
      <c r="Q380" s="678"/>
      <c r="R380" s="678">
        <f t="shared" si="64"/>
        <v>0.32306942505058389</v>
      </c>
      <c r="S380" s="679"/>
      <c r="T380" s="680">
        <f t="shared" si="66"/>
        <v>2711.135486516157</v>
      </c>
    </row>
    <row r="381" spans="1:20">
      <c r="A381" s="682">
        <v>45776</v>
      </c>
      <c r="B381" s="678">
        <f t="shared" si="58"/>
        <v>583035.91865086334</v>
      </c>
      <c r="C381" s="678"/>
      <c r="D381" s="678">
        <f t="shared" si="63"/>
        <v>69.485102633733021</v>
      </c>
      <c r="E381" s="678"/>
      <c r="F381" s="678">
        <f t="shared" si="59"/>
        <v>583105.40375349706</v>
      </c>
      <c r="H381" s="682">
        <v>45776</v>
      </c>
      <c r="I381" s="678">
        <f t="shared" si="60"/>
        <v>1584655.7476941636</v>
      </c>
      <c r="J381" s="678"/>
      <c r="K381" s="678">
        <f t="shared" si="62"/>
        <v>188.85623294437289</v>
      </c>
      <c r="L381" s="678"/>
      <c r="M381" s="678">
        <f t="shared" si="61"/>
        <v>1584844.603927108</v>
      </c>
      <c r="O381" s="682">
        <v>45776</v>
      </c>
      <c r="P381" s="678">
        <f t="shared" si="65"/>
        <v>2711.135486516157</v>
      </c>
      <c r="Q381" s="678"/>
      <c r="R381" s="678">
        <f t="shared" si="64"/>
        <v>0.32310792784507625</v>
      </c>
      <c r="S381" s="679"/>
      <c r="T381" s="680">
        <f t="shared" si="66"/>
        <v>2711.4585944440023</v>
      </c>
    </row>
    <row r="382" spans="1:20">
      <c r="A382" s="681">
        <v>45777</v>
      </c>
      <c r="B382" s="678">
        <f t="shared" si="58"/>
        <v>583105.40375349706</v>
      </c>
      <c r="C382" s="678"/>
      <c r="D382" s="678">
        <f t="shared" si="63"/>
        <v>69.493383735005807</v>
      </c>
      <c r="E382" s="678">
        <f>+$E$109</f>
        <v>81000.5</v>
      </c>
      <c r="F382" s="678">
        <f t="shared" si="59"/>
        <v>502174.39713723201</v>
      </c>
      <c r="H382" s="681">
        <v>45777</v>
      </c>
      <c r="I382" s="678">
        <f t="shared" si="60"/>
        <v>1584844.603927108</v>
      </c>
      <c r="J382" s="678"/>
      <c r="K382" s="678">
        <f t="shared" si="62"/>
        <v>188.87874046802517</v>
      </c>
      <c r="L382" s="678"/>
      <c r="M382" s="678">
        <f t="shared" si="61"/>
        <v>1585033.4826675761</v>
      </c>
      <c r="O382" s="681">
        <v>45777</v>
      </c>
      <c r="P382" s="678">
        <f t="shared" si="65"/>
        <v>2711.4585944440023</v>
      </c>
      <c r="Q382" s="678"/>
      <c r="R382" s="678">
        <f t="shared" si="64"/>
        <v>0.32314643522825781</v>
      </c>
      <c r="S382" s="679"/>
      <c r="T382" s="680">
        <f t="shared" si="66"/>
        <v>2711.7817408792307</v>
      </c>
    </row>
    <row r="383" spans="1:20">
      <c r="A383" s="681">
        <v>45778</v>
      </c>
      <c r="B383" s="678">
        <f t="shared" si="58"/>
        <v>502174.39713723201</v>
      </c>
      <c r="C383" s="678"/>
      <c r="D383" s="678">
        <f t="shared" si="63"/>
        <v>59.848181576629017</v>
      </c>
      <c r="E383" s="678"/>
      <c r="F383" s="678">
        <f t="shared" si="59"/>
        <v>502234.24531880865</v>
      </c>
      <c r="H383" s="681">
        <v>45778</v>
      </c>
      <c r="I383" s="678">
        <f t="shared" si="60"/>
        <v>1585033.4826675761</v>
      </c>
      <c r="J383" s="678"/>
      <c r="K383" s="678">
        <f t="shared" si="62"/>
        <v>188.90125067408096</v>
      </c>
      <c r="L383" s="678"/>
      <c r="M383" s="678">
        <f t="shared" si="61"/>
        <v>1585222.3839182502</v>
      </c>
      <c r="O383" s="681">
        <v>45778</v>
      </c>
      <c r="P383" s="678">
        <f t="shared" si="65"/>
        <v>2711.7817408792307</v>
      </c>
      <c r="Q383" s="678"/>
      <c r="R383" s="678">
        <f t="shared" si="64"/>
        <v>0.32318494720067542</v>
      </c>
      <c r="S383" s="679"/>
      <c r="T383" s="680">
        <f t="shared" si="66"/>
        <v>2712.1049258264316</v>
      </c>
    </row>
    <row r="384" spans="1:20">
      <c r="A384" s="682">
        <v>45779</v>
      </c>
      <c r="B384" s="678">
        <f t="shared" si="58"/>
        <v>502234.24531880865</v>
      </c>
      <c r="C384" s="678"/>
      <c r="D384" s="678">
        <f t="shared" si="63"/>
        <v>59.855314168131983</v>
      </c>
      <c r="E384" s="678"/>
      <c r="F384" s="678">
        <f t="shared" si="59"/>
        <v>502294.1006329768</v>
      </c>
      <c r="H384" s="682">
        <v>45779</v>
      </c>
      <c r="I384" s="678">
        <f t="shared" si="60"/>
        <v>1585222.3839182502</v>
      </c>
      <c r="J384" s="678"/>
      <c r="K384" s="678">
        <f t="shared" si="62"/>
        <v>188.92376356285993</v>
      </c>
      <c r="L384" s="678"/>
      <c r="M384" s="678">
        <f t="shared" si="61"/>
        <v>1585411.3076818131</v>
      </c>
      <c r="O384" s="682">
        <v>45779</v>
      </c>
      <c r="P384" s="678">
        <f t="shared" si="65"/>
        <v>2712.1049258264316</v>
      </c>
      <c r="Q384" s="678"/>
      <c r="R384" s="678">
        <f t="shared" si="64"/>
        <v>0.32322346376287608</v>
      </c>
      <c r="S384" s="679"/>
      <c r="T384" s="680">
        <f t="shared" si="66"/>
        <v>2712.4281492901946</v>
      </c>
    </row>
    <row r="385" spans="1:20">
      <c r="A385" s="681">
        <v>45780</v>
      </c>
      <c r="B385" s="678">
        <f t="shared" si="58"/>
        <v>502294.1006329768</v>
      </c>
      <c r="C385" s="678"/>
      <c r="D385" s="678">
        <f t="shared" si="63"/>
        <v>59.862447609683535</v>
      </c>
      <c r="E385" s="678"/>
      <c r="F385" s="678">
        <f t="shared" si="59"/>
        <v>502353.96308058646</v>
      </c>
      <c r="H385" s="681">
        <v>45780</v>
      </c>
      <c r="I385" s="678">
        <f t="shared" si="60"/>
        <v>1585411.3076818131</v>
      </c>
      <c r="J385" s="678"/>
      <c r="K385" s="678">
        <f t="shared" si="62"/>
        <v>188.94627913468182</v>
      </c>
      <c r="L385" s="678"/>
      <c r="M385" s="678">
        <f t="shared" si="61"/>
        <v>1585600.2539609477</v>
      </c>
      <c r="O385" s="681">
        <v>45780</v>
      </c>
      <c r="P385" s="678">
        <f t="shared" si="65"/>
        <v>2712.4281492901946</v>
      </c>
      <c r="Q385" s="678"/>
      <c r="R385" s="678">
        <f t="shared" si="64"/>
        <v>0.3232619849154067</v>
      </c>
      <c r="S385" s="679"/>
      <c r="T385" s="680">
        <f t="shared" si="66"/>
        <v>2712.7514112751101</v>
      </c>
    </row>
    <row r="386" spans="1:20">
      <c r="A386" s="681">
        <v>45781</v>
      </c>
      <c r="B386" s="678">
        <f t="shared" si="58"/>
        <v>502353.96308058646</v>
      </c>
      <c r="C386" s="678"/>
      <c r="D386" s="678">
        <f t="shared" si="63"/>
        <v>59.869581901384961</v>
      </c>
      <c r="E386" s="678"/>
      <c r="F386" s="678">
        <f t="shared" si="59"/>
        <v>502413.83266248787</v>
      </c>
      <c r="H386" s="681">
        <v>45781</v>
      </c>
      <c r="I386" s="678">
        <f t="shared" si="60"/>
        <v>1585600.2539609477</v>
      </c>
      <c r="J386" s="678"/>
      <c r="K386" s="678">
        <f t="shared" si="62"/>
        <v>188.96879738986635</v>
      </c>
      <c r="L386" s="678"/>
      <c r="M386" s="678">
        <f t="shared" si="61"/>
        <v>1585789.2227583376</v>
      </c>
      <c r="O386" s="681">
        <v>45781</v>
      </c>
      <c r="P386" s="678">
        <f t="shared" si="65"/>
        <v>2712.7514112751101</v>
      </c>
      <c r="Q386" s="678"/>
      <c r="R386" s="678">
        <f t="shared" si="64"/>
        <v>0.32330051065881449</v>
      </c>
      <c r="S386" s="679"/>
      <c r="T386" s="680">
        <f t="shared" si="66"/>
        <v>2713.0747117857691</v>
      </c>
    </row>
    <row r="387" spans="1:20">
      <c r="A387" s="682">
        <v>45782</v>
      </c>
      <c r="B387" s="678">
        <f t="shared" si="58"/>
        <v>502413.83266248787</v>
      </c>
      <c r="C387" s="678"/>
      <c r="D387" s="678">
        <f t="shared" si="63"/>
        <v>59.876717043337592</v>
      </c>
      <c r="E387" s="678"/>
      <c r="F387" s="678">
        <f t="shared" si="59"/>
        <v>502473.70937953121</v>
      </c>
      <c r="H387" s="682">
        <v>45782</v>
      </c>
      <c r="I387" s="678">
        <f t="shared" si="60"/>
        <v>1585789.2227583376</v>
      </c>
      <c r="J387" s="678"/>
      <c r="K387" s="678">
        <f t="shared" si="62"/>
        <v>188.9913183287334</v>
      </c>
      <c r="L387" s="678"/>
      <c r="M387" s="678">
        <f t="shared" si="61"/>
        <v>1585978.2140766664</v>
      </c>
      <c r="O387" s="682">
        <v>45782</v>
      </c>
      <c r="P387" s="678">
        <f t="shared" si="65"/>
        <v>2713.0747117857691</v>
      </c>
      <c r="Q387" s="678"/>
      <c r="R387" s="678">
        <f t="shared" si="64"/>
        <v>0.32333904099364641</v>
      </c>
      <c r="S387" s="679">
        <f>+P387/2</f>
        <v>1356.5373558928845</v>
      </c>
      <c r="T387" s="680">
        <f t="shared" si="66"/>
        <v>1356.8606949338782</v>
      </c>
    </row>
    <row r="388" spans="1:20">
      <c r="A388" s="681">
        <v>45783</v>
      </c>
      <c r="B388" s="678">
        <f t="shared" si="58"/>
        <v>502473.70937953121</v>
      </c>
      <c r="C388" s="678"/>
      <c r="D388" s="678">
        <f t="shared" si="63"/>
        <v>59.883853035642751</v>
      </c>
      <c r="E388" s="678"/>
      <c r="F388" s="678">
        <f t="shared" si="59"/>
        <v>502533.59323256684</v>
      </c>
      <c r="H388" s="681">
        <v>45783</v>
      </c>
      <c r="I388" s="678">
        <f t="shared" si="60"/>
        <v>1585978.2140766664</v>
      </c>
      <c r="J388" s="678"/>
      <c r="K388" s="678">
        <f t="shared" si="62"/>
        <v>189.0138419516027</v>
      </c>
      <c r="L388" s="678"/>
      <c r="M388" s="678">
        <f t="shared" si="61"/>
        <v>1586167.2279186179</v>
      </c>
      <c r="O388" s="681">
        <v>45783</v>
      </c>
      <c r="P388" s="678">
        <f t="shared" si="65"/>
        <v>1356.8606949338782</v>
      </c>
      <c r="Q388" s="678"/>
      <c r="R388" s="678">
        <f t="shared" si="64"/>
        <v>0.16170805542362657</v>
      </c>
      <c r="S388" s="679"/>
      <c r="T388" s="680">
        <f t="shared" si="66"/>
        <v>1357.0224029893018</v>
      </c>
    </row>
    <row r="389" spans="1:20">
      <c r="A389" s="681">
        <v>45784</v>
      </c>
      <c r="B389" s="678">
        <f t="shared" si="58"/>
        <v>502533.59323256684</v>
      </c>
      <c r="C389" s="678"/>
      <c r="D389" s="678">
        <f t="shared" si="63"/>
        <v>59.890989878401797</v>
      </c>
      <c r="E389" s="678"/>
      <c r="F389" s="678">
        <f t="shared" si="59"/>
        <v>502593.48422244523</v>
      </c>
      <c r="H389" s="681">
        <v>45784</v>
      </c>
      <c r="I389" s="678">
        <f t="shared" si="60"/>
        <v>1586167.2279186179</v>
      </c>
      <c r="J389" s="678"/>
      <c r="K389" s="678">
        <f t="shared" si="62"/>
        <v>189.03636825879417</v>
      </c>
      <c r="L389" s="678"/>
      <c r="M389" s="678">
        <f t="shared" si="61"/>
        <v>1586356.2642868767</v>
      </c>
      <c r="O389" s="681">
        <v>45784</v>
      </c>
      <c r="P389" s="678">
        <f t="shared" si="65"/>
        <v>1357.0224029893018</v>
      </c>
      <c r="Q389" s="678"/>
      <c r="R389" s="678">
        <f t="shared" si="64"/>
        <v>0.16172732747954691</v>
      </c>
      <c r="S389" s="679"/>
      <c r="T389" s="680">
        <f t="shared" si="66"/>
        <v>1357.1841303167814</v>
      </c>
    </row>
    <row r="390" spans="1:20">
      <c r="A390" s="682">
        <v>45785</v>
      </c>
      <c r="B390" s="678">
        <f t="shared" si="58"/>
        <v>502593.48422244523</v>
      </c>
      <c r="C390" s="678"/>
      <c r="D390" s="678">
        <f t="shared" si="63"/>
        <v>59.898127571716074</v>
      </c>
      <c r="E390" s="678"/>
      <c r="F390" s="678">
        <f t="shared" si="59"/>
        <v>502653.38235001697</v>
      </c>
      <c r="H390" s="682">
        <v>45785</v>
      </c>
      <c r="I390" s="678">
        <f t="shared" si="60"/>
        <v>1586356.2642868767</v>
      </c>
      <c r="J390" s="678"/>
      <c r="K390" s="678">
        <f t="shared" si="62"/>
        <v>189.05889725062775</v>
      </c>
      <c r="L390" s="678"/>
      <c r="M390" s="678">
        <f t="shared" si="61"/>
        <v>1586545.3231841272</v>
      </c>
      <c r="O390" s="682">
        <v>45785</v>
      </c>
      <c r="P390" s="678">
        <f t="shared" si="65"/>
        <v>1357.1841303167814</v>
      </c>
      <c r="Q390" s="678"/>
      <c r="R390" s="678">
        <f t="shared" si="64"/>
        <v>0.16174660183227393</v>
      </c>
      <c r="S390" s="679"/>
      <c r="T390" s="680">
        <f t="shared" si="66"/>
        <v>1357.3458769186136</v>
      </c>
    </row>
    <row r="391" spans="1:20">
      <c r="A391" s="681">
        <v>45786</v>
      </c>
      <c r="B391" s="678">
        <f t="shared" si="58"/>
        <v>502653.38235001697</v>
      </c>
      <c r="C391" s="678"/>
      <c r="D391" s="678">
        <f t="shared" si="63"/>
        <v>59.905266115686949</v>
      </c>
      <c r="E391" s="678"/>
      <c r="F391" s="678">
        <f t="shared" si="59"/>
        <v>502713.28761613264</v>
      </c>
      <c r="H391" s="681">
        <v>45786</v>
      </c>
      <c r="I391" s="678">
        <f t="shared" si="60"/>
        <v>1586545.3231841272</v>
      </c>
      <c r="J391" s="678"/>
      <c r="K391" s="678">
        <f t="shared" si="62"/>
        <v>189.08142892742336</v>
      </c>
      <c r="L391" s="678"/>
      <c r="M391" s="678">
        <f t="shared" si="61"/>
        <v>1586734.4046130546</v>
      </c>
      <c r="O391" s="681">
        <v>45786</v>
      </c>
      <c r="P391" s="678">
        <f t="shared" si="65"/>
        <v>1357.3458769186136</v>
      </c>
      <c r="Q391" s="678"/>
      <c r="R391" s="678">
        <f t="shared" si="64"/>
        <v>0.16176587848208132</v>
      </c>
      <c r="S391" s="679"/>
      <c r="T391" s="680">
        <f t="shared" si="66"/>
        <v>1357.5076427970957</v>
      </c>
    </row>
    <row r="392" spans="1:20">
      <c r="A392" s="681">
        <v>45787</v>
      </c>
      <c r="B392" s="678">
        <f t="shared" si="58"/>
        <v>502713.28761613264</v>
      </c>
      <c r="C392" s="678"/>
      <c r="D392" s="678">
        <f t="shared" si="63"/>
        <v>59.912405510415802</v>
      </c>
      <c r="E392" s="678"/>
      <c r="F392" s="678">
        <f t="shared" si="59"/>
        <v>502773.20002164308</v>
      </c>
      <c r="H392" s="681">
        <v>45787</v>
      </c>
      <c r="I392" s="678">
        <f t="shared" si="60"/>
        <v>1586734.4046130546</v>
      </c>
      <c r="J392" s="678"/>
      <c r="K392" s="678">
        <f t="shared" si="62"/>
        <v>189.10396328950102</v>
      </c>
      <c r="L392" s="678"/>
      <c r="M392" s="678">
        <f t="shared" si="61"/>
        <v>1586923.508576344</v>
      </c>
      <c r="O392" s="681">
        <v>45787</v>
      </c>
      <c r="P392" s="678">
        <f t="shared" si="65"/>
        <v>1357.5076427970957</v>
      </c>
      <c r="Q392" s="678"/>
      <c r="R392" s="678">
        <f t="shared" si="64"/>
        <v>0.1617851574292429</v>
      </c>
      <c r="S392" s="679"/>
      <c r="T392" s="680">
        <f t="shared" si="66"/>
        <v>1357.669427954525</v>
      </c>
    </row>
    <row r="393" spans="1:20">
      <c r="A393" s="682">
        <v>45788</v>
      </c>
      <c r="B393" s="678">
        <f t="shared" ref="B393:B443" si="67">+F392</f>
        <v>502773.20002164308</v>
      </c>
      <c r="C393" s="678"/>
      <c r="D393" s="678">
        <f t="shared" si="63"/>
        <v>59.919545756004034</v>
      </c>
      <c r="E393" s="678"/>
      <c r="F393" s="678">
        <f t="shared" ref="F393:F443" si="68">+B393+C393+D393-E393</f>
        <v>502833.11956739909</v>
      </c>
      <c r="H393" s="682">
        <v>45788</v>
      </c>
      <c r="I393" s="678">
        <f t="shared" ref="I393:I443" si="69">+M392</f>
        <v>1586923.508576344</v>
      </c>
      <c r="J393" s="678"/>
      <c r="K393" s="678">
        <f t="shared" si="62"/>
        <v>189.12650033718072</v>
      </c>
      <c r="L393" s="678"/>
      <c r="M393" s="678">
        <f t="shared" ref="M393:M443" si="70">+I393+J393+K393-L393</f>
        <v>1587112.6350766812</v>
      </c>
      <c r="O393" s="682">
        <v>45788</v>
      </c>
      <c r="P393" s="678">
        <f t="shared" si="65"/>
        <v>1357.669427954525</v>
      </c>
      <c r="Q393" s="678"/>
      <c r="R393" s="678">
        <f t="shared" si="64"/>
        <v>0.16180443867403244</v>
      </c>
      <c r="S393" s="679"/>
      <c r="T393" s="680">
        <f t="shared" si="66"/>
        <v>1357.8312323931989</v>
      </c>
    </row>
    <row r="394" spans="1:20">
      <c r="A394" s="681">
        <v>45789</v>
      </c>
      <c r="B394" s="678">
        <f t="shared" si="67"/>
        <v>502833.11956739909</v>
      </c>
      <c r="C394" s="678"/>
      <c r="D394" s="678">
        <f t="shared" si="63"/>
        <v>59.926686852553033</v>
      </c>
      <c r="E394" s="678"/>
      <c r="F394" s="678">
        <f t="shared" si="68"/>
        <v>502893.04625425162</v>
      </c>
      <c r="H394" s="681">
        <v>45789</v>
      </c>
      <c r="I394" s="678">
        <f t="shared" si="69"/>
        <v>1587112.6350766812</v>
      </c>
      <c r="J394" s="678"/>
      <c r="K394" s="678">
        <f t="shared" si="62"/>
        <v>189.14904007078252</v>
      </c>
      <c r="L394" s="678"/>
      <c r="M394" s="678">
        <f t="shared" si="70"/>
        <v>1587301.784116752</v>
      </c>
      <c r="O394" s="681">
        <v>45789</v>
      </c>
      <c r="P394" s="678">
        <f t="shared" si="65"/>
        <v>1357.8312323931989</v>
      </c>
      <c r="Q394" s="678"/>
      <c r="R394" s="678">
        <f t="shared" si="64"/>
        <v>0.1618237222167237</v>
      </c>
      <c r="S394" s="679"/>
      <c r="T394" s="680">
        <f t="shared" si="66"/>
        <v>1357.9930561154156</v>
      </c>
    </row>
    <row r="395" spans="1:20">
      <c r="A395" s="681">
        <v>45790</v>
      </c>
      <c r="B395" s="678">
        <f t="shared" si="67"/>
        <v>502893.04625425162</v>
      </c>
      <c r="C395" s="678"/>
      <c r="D395" s="678">
        <f t="shared" si="63"/>
        <v>59.933828800164228</v>
      </c>
      <c r="E395" s="678"/>
      <c r="F395" s="678">
        <f t="shared" si="68"/>
        <v>502952.98008305178</v>
      </c>
      <c r="H395" s="681">
        <v>45790</v>
      </c>
      <c r="I395" s="678">
        <f t="shared" si="69"/>
        <v>1587301.784116752</v>
      </c>
      <c r="J395" s="678"/>
      <c r="K395" s="678">
        <f t="shared" si="62"/>
        <v>189.17158249062658</v>
      </c>
      <c r="L395" s="678"/>
      <c r="M395" s="678">
        <f t="shared" si="70"/>
        <v>1587490.9556992427</v>
      </c>
      <c r="O395" s="681">
        <v>45790</v>
      </c>
      <c r="P395" s="678">
        <f t="shared" si="65"/>
        <v>1357.9930561154156</v>
      </c>
      <c r="Q395" s="678"/>
      <c r="R395" s="678">
        <f t="shared" si="64"/>
        <v>0.16184300805759061</v>
      </c>
      <c r="S395" s="679"/>
      <c r="T395" s="680">
        <f t="shared" si="66"/>
        <v>1358.1548991234731</v>
      </c>
    </row>
    <row r="396" spans="1:20">
      <c r="A396" s="682">
        <v>45791</v>
      </c>
      <c r="B396" s="678">
        <f t="shared" si="67"/>
        <v>502952.98008305178</v>
      </c>
      <c r="C396" s="678"/>
      <c r="D396" s="678">
        <f t="shared" si="63"/>
        <v>59.940971598939043</v>
      </c>
      <c r="E396" s="678"/>
      <c r="F396" s="678">
        <f t="shared" si="68"/>
        <v>503012.92105465074</v>
      </c>
      <c r="H396" s="682">
        <v>45791</v>
      </c>
      <c r="I396" s="678">
        <f t="shared" si="69"/>
        <v>1587490.9556992427</v>
      </c>
      <c r="J396" s="678"/>
      <c r="K396" s="678">
        <f t="shared" si="62"/>
        <v>189.19412759703303</v>
      </c>
      <c r="L396" s="678"/>
      <c r="M396" s="678">
        <f t="shared" si="70"/>
        <v>1587680.1498268398</v>
      </c>
      <c r="O396" s="682">
        <v>45791</v>
      </c>
      <c r="P396" s="678">
        <f t="shared" si="65"/>
        <v>1358.1548991234731</v>
      </c>
      <c r="Q396" s="678"/>
      <c r="R396" s="678">
        <f t="shared" si="64"/>
        <v>0.16186229619690706</v>
      </c>
      <c r="S396" s="679"/>
      <c r="T396" s="680">
        <f t="shared" si="66"/>
        <v>1358.31676141967</v>
      </c>
    </row>
    <row r="397" spans="1:20">
      <c r="A397" s="681">
        <v>45792</v>
      </c>
      <c r="B397" s="678">
        <f t="shared" si="67"/>
        <v>503012.92105465074</v>
      </c>
      <c r="C397" s="678">
        <f>SUM($D$451+$D$452+$D$453)/12</f>
        <v>73029.166666666672</v>
      </c>
      <c r="D397" s="678">
        <f t="shared" si="63"/>
        <v>59.948115248978915</v>
      </c>
      <c r="E397" s="678"/>
      <c r="F397" s="678">
        <f t="shared" si="68"/>
        <v>576102.03583656636</v>
      </c>
      <c r="H397" s="681">
        <v>45792</v>
      </c>
      <c r="I397" s="678">
        <f t="shared" si="69"/>
        <v>1587680.1498268398</v>
      </c>
      <c r="J397" s="678"/>
      <c r="K397" s="678">
        <f t="shared" si="62"/>
        <v>189.216675390322</v>
      </c>
      <c r="L397" s="678"/>
      <c r="M397" s="678">
        <f t="shared" si="70"/>
        <v>1587869.3665022301</v>
      </c>
      <c r="O397" s="681">
        <v>45792</v>
      </c>
      <c r="P397" s="678">
        <f t="shared" si="65"/>
        <v>1358.31676141967</v>
      </c>
      <c r="Q397" s="678"/>
      <c r="R397" s="678">
        <f t="shared" si="64"/>
        <v>0.16188158663494695</v>
      </c>
      <c r="S397" s="679"/>
      <c r="T397" s="680">
        <f t="shared" si="66"/>
        <v>1358.478643006305</v>
      </c>
    </row>
    <row r="398" spans="1:20">
      <c r="A398" s="681">
        <v>45793</v>
      </c>
      <c r="B398" s="678">
        <f t="shared" si="67"/>
        <v>576102.03583656636</v>
      </c>
      <c r="C398" s="678"/>
      <c r="D398" s="678">
        <f t="shared" si="63"/>
        <v>68.658735777782553</v>
      </c>
      <c r="E398" s="678"/>
      <c r="F398" s="678">
        <f t="shared" si="68"/>
        <v>576170.69457234419</v>
      </c>
      <c r="H398" s="681">
        <v>45793</v>
      </c>
      <c r="I398" s="678">
        <f t="shared" si="69"/>
        <v>1587869.3665022301</v>
      </c>
      <c r="J398" s="678"/>
      <c r="K398" s="678">
        <f t="shared" si="62"/>
        <v>189.23922587081373</v>
      </c>
      <c r="L398" s="678"/>
      <c r="M398" s="678">
        <f t="shared" si="70"/>
        <v>1588058.605728101</v>
      </c>
      <c r="O398" s="681">
        <v>45793</v>
      </c>
      <c r="P398" s="678">
        <f t="shared" si="65"/>
        <v>1358.478643006305</v>
      </c>
      <c r="Q398" s="678"/>
      <c r="R398" s="678">
        <f t="shared" si="64"/>
        <v>0.16190087937198427</v>
      </c>
      <c r="S398" s="679"/>
      <c r="T398" s="680">
        <f t="shared" si="66"/>
        <v>1358.6405438856771</v>
      </c>
    </row>
    <row r="399" spans="1:20">
      <c r="A399" s="682">
        <v>45794</v>
      </c>
      <c r="B399" s="678">
        <f t="shared" si="67"/>
        <v>576170.69457234419</v>
      </c>
      <c r="C399" s="678"/>
      <c r="D399" s="678">
        <f t="shared" si="63"/>
        <v>68.66691839423828</v>
      </c>
      <c r="E399" s="678"/>
      <c r="F399" s="678">
        <f t="shared" si="68"/>
        <v>576239.36149073846</v>
      </c>
      <c r="H399" s="682">
        <v>45794</v>
      </c>
      <c r="I399" s="678">
        <f t="shared" si="69"/>
        <v>1588058.605728101</v>
      </c>
      <c r="J399" s="678"/>
      <c r="K399" s="678">
        <f t="shared" si="62"/>
        <v>189.26177903882848</v>
      </c>
      <c r="L399" s="678"/>
      <c r="M399" s="678">
        <f t="shared" si="70"/>
        <v>1588247.8675071399</v>
      </c>
      <c r="O399" s="682">
        <v>45794</v>
      </c>
      <c r="P399" s="678">
        <f t="shared" si="65"/>
        <v>1358.6405438856771</v>
      </c>
      <c r="Q399" s="678"/>
      <c r="R399" s="678">
        <f t="shared" si="64"/>
        <v>0.16192017440829301</v>
      </c>
      <c r="S399" s="679"/>
      <c r="T399" s="680">
        <f t="shared" si="66"/>
        <v>1358.8024640600854</v>
      </c>
    </row>
    <row r="400" spans="1:20">
      <c r="A400" s="681">
        <v>45795</v>
      </c>
      <c r="B400" s="678">
        <f t="shared" si="67"/>
        <v>576239.36149073846</v>
      </c>
      <c r="C400" s="678"/>
      <c r="D400" s="678">
        <f t="shared" si="63"/>
        <v>68.67510198588252</v>
      </c>
      <c r="E400" s="678"/>
      <c r="F400" s="678">
        <f t="shared" si="68"/>
        <v>576308.03659272438</v>
      </c>
      <c r="H400" s="681">
        <v>45795</v>
      </c>
      <c r="I400" s="678">
        <f t="shared" si="69"/>
        <v>1588247.8675071399</v>
      </c>
      <c r="J400" s="678"/>
      <c r="K400" s="678">
        <f t="shared" si="62"/>
        <v>189.28433489468654</v>
      </c>
      <c r="L400" s="678"/>
      <c r="M400" s="678">
        <f t="shared" si="70"/>
        <v>1588437.1518420347</v>
      </c>
      <c r="O400" s="681">
        <v>45795</v>
      </c>
      <c r="P400" s="678">
        <f t="shared" si="65"/>
        <v>1358.8024640600854</v>
      </c>
      <c r="Q400" s="678"/>
      <c r="R400" s="678">
        <f t="shared" si="64"/>
        <v>0.16193947174414713</v>
      </c>
      <c r="S400" s="679"/>
      <c r="T400" s="680">
        <f t="shared" si="66"/>
        <v>1358.9644035318295</v>
      </c>
    </row>
    <row r="401" spans="1:20">
      <c r="A401" s="681">
        <v>45796</v>
      </c>
      <c r="B401" s="678">
        <f t="shared" si="67"/>
        <v>576308.03659272438</v>
      </c>
      <c r="C401" s="678"/>
      <c r="D401" s="678">
        <f t="shared" si="63"/>
        <v>68.683286552831532</v>
      </c>
      <c r="E401" s="678"/>
      <c r="F401" s="678">
        <f t="shared" si="68"/>
        <v>576376.71987927717</v>
      </c>
      <c r="H401" s="681">
        <v>45796</v>
      </c>
      <c r="I401" s="678">
        <f t="shared" si="69"/>
        <v>1588437.1518420347</v>
      </c>
      <c r="J401" s="678"/>
      <c r="K401" s="678">
        <f t="shared" si="62"/>
        <v>189.30689343870822</v>
      </c>
      <c r="L401" s="678"/>
      <c r="M401" s="678">
        <f t="shared" si="70"/>
        <v>1588626.4587354735</v>
      </c>
      <c r="O401" s="681">
        <v>45796</v>
      </c>
      <c r="P401" s="678">
        <f t="shared" si="65"/>
        <v>1358.9644035318295</v>
      </c>
      <c r="Q401" s="678"/>
      <c r="R401" s="678">
        <f t="shared" si="64"/>
        <v>0.16195877137982076</v>
      </c>
      <c r="S401" s="679"/>
      <c r="T401" s="680">
        <f t="shared" si="66"/>
        <v>1359.1263623032094</v>
      </c>
    </row>
    <row r="402" spans="1:20">
      <c r="A402" s="682">
        <v>45797</v>
      </c>
      <c r="B402" s="678">
        <f t="shared" si="67"/>
        <v>576376.71987927717</v>
      </c>
      <c r="C402" s="678"/>
      <c r="D402" s="678">
        <f t="shared" si="63"/>
        <v>68.691472095201519</v>
      </c>
      <c r="E402" s="678"/>
      <c r="F402" s="678">
        <f t="shared" si="68"/>
        <v>576445.41135137237</v>
      </c>
      <c r="H402" s="682">
        <v>45797</v>
      </c>
      <c r="I402" s="678">
        <f t="shared" si="69"/>
        <v>1588626.4587354735</v>
      </c>
      <c r="J402" s="678"/>
      <c r="K402" s="678">
        <f t="shared" ref="K402:K443" si="71">SUM(I402*$K$1)/365</f>
        <v>189.32945467121394</v>
      </c>
      <c r="L402" s="678"/>
      <c r="M402" s="678">
        <f t="shared" si="70"/>
        <v>1588815.7881901446</v>
      </c>
      <c r="O402" s="682">
        <v>45797</v>
      </c>
      <c r="P402" s="678">
        <f t="shared" si="65"/>
        <v>1359.1263623032094</v>
      </c>
      <c r="Q402" s="678"/>
      <c r="R402" s="678">
        <f t="shared" si="64"/>
        <v>0.16197807331558794</v>
      </c>
      <c r="S402" s="679"/>
      <c r="T402" s="680">
        <f t="shared" si="66"/>
        <v>1359.288340376525</v>
      </c>
    </row>
    <row r="403" spans="1:20">
      <c r="A403" s="681">
        <v>45798</v>
      </c>
      <c r="B403" s="678">
        <f t="shared" si="67"/>
        <v>576445.41135137237</v>
      </c>
      <c r="C403" s="678"/>
      <c r="D403" s="678">
        <f t="shared" ref="D403:D443" si="72">SUM(B403*$K$1)/365</f>
        <v>68.699658613108753</v>
      </c>
      <c r="E403" s="678"/>
      <c r="F403" s="678">
        <f t="shared" si="68"/>
        <v>576514.11100998544</v>
      </c>
      <c r="H403" s="681">
        <v>45798</v>
      </c>
      <c r="I403" s="678">
        <f t="shared" si="69"/>
        <v>1588815.7881901446</v>
      </c>
      <c r="J403" s="678"/>
      <c r="K403" s="678">
        <f t="shared" si="71"/>
        <v>189.35201859252408</v>
      </c>
      <c r="L403" s="678"/>
      <c r="M403" s="678">
        <f t="shared" si="70"/>
        <v>1589005.140208737</v>
      </c>
      <c r="O403" s="681">
        <v>45798</v>
      </c>
      <c r="P403" s="678">
        <f t="shared" si="65"/>
        <v>1359.288340376525</v>
      </c>
      <c r="Q403" s="678"/>
      <c r="R403" s="678">
        <f t="shared" si="64"/>
        <v>0.16199737755172283</v>
      </c>
      <c r="S403" s="679"/>
      <c r="T403" s="680">
        <f t="shared" si="66"/>
        <v>1359.4503377540766</v>
      </c>
    </row>
    <row r="404" spans="1:20">
      <c r="A404" s="681">
        <v>45799</v>
      </c>
      <c r="B404" s="678">
        <f t="shared" si="67"/>
        <v>576514.11100998544</v>
      </c>
      <c r="C404" s="678"/>
      <c r="D404" s="678">
        <f t="shared" si="72"/>
        <v>68.707846106669493</v>
      </c>
      <c r="E404" s="678"/>
      <c r="F404" s="678">
        <f t="shared" si="68"/>
        <v>576582.81885609205</v>
      </c>
      <c r="H404" s="681">
        <v>45799</v>
      </c>
      <c r="I404" s="678">
        <f t="shared" si="69"/>
        <v>1589005.140208737</v>
      </c>
      <c r="J404" s="678"/>
      <c r="K404" s="678">
        <f t="shared" si="71"/>
        <v>189.37458520295905</v>
      </c>
      <c r="L404" s="678"/>
      <c r="M404" s="678">
        <f t="shared" si="70"/>
        <v>1589194.5147939399</v>
      </c>
      <c r="O404" s="681">
        <v>45799</v>
      </c>
      <c r="P404" s="678">
        <f t="shared" si="65"/>
        <v>1359.4503377540766</v>
      </c>
      <c r="Q404" s="678"/>
      <c r="R404" s="678">
        <f t="shared" si="64"/>
        <v>0.16201668408849954</v>
      </c>
      <c r="S404" s="679"/>
      <c r="T404" s="680">
        <f t="shared" si="66"/>
        <v>1359.6123544381651</v>
      </c>
    </row>
    <row r="405" spans="1:20">
      <c r="A405" s="682">
        <v>45800</v>
      </c>
      <c r="B405" s="678">
        <f t="shared" si="67"/>
        <v>576582.81885609205</v>
      </c>
      <c r="C405" s="678"/>
      <c r="D405" s="678">
        <f t="shared" si="72"/>
        <v>68.716034576000013</v>
      </c>
      <c r="E405" s="678"/>
      <c r="F405" s="678">
        <f t="shared" si="68"/>
        <v>576651.534890668</v>
      </c>
      <c r="H405" s="682">
        <v>45800</v>
      </c>
      <c r="I405" s="678">
        <f t="shared" si="69"/>
        <v>1589194.5147939399</v>
      </c>
      <c r="J405" s="678"/>
      <c r="K405" s="678">
        <f t="shared" si="71"/>
        <v>189.39715450283938</v>
      </c>
      <c r="L405" s="678"/>
      <c r="M405" s="678">
        <f t="shared" si="70"/>
        <v>1589383.9119484427</v>
      </c>
      <c r="O405" s="682">
        <v>45800</v>
      </c>
      <c r="P405" s="678">
        <f t="shared" si="65"/>
        <v>1359.6123544381651</v>
      </c>
      <c r="Q405" s="678"/>
      <c r="R405" s="678">
        <f t="shared" ref="R405:R418" si="73">SUM(P405*$K$1)/365</f>
        <v>0.16203599292619228</v>
      </c>
      <c r="S405" s="679"/>
      <c r="T405" s="680">
        <f t="shared" si="66"/>
        <v>1359.7743904310912</v>
      </c>
    </row>
    <row r="406" spans="1:20">
      <c r="A406" s="681">
        <v>45801</v>
      </c>
      <c r="B406" s="678">
        <f t="shared" si="67"/>
        <v>576651.534890668</v>
      </c>
      <c r="C406" s="678"/>
      <c r="D406" s="678">
        <f t="shared" si="72"/>
        <v>68.724224021216585</v>
      </c>
      <c r="E406" s="678"/>
      <c r="F406" s="678">
        <f t="shared" si="68"/>
        <v>576720.25911468919</v>
      </c>
      <c r="H406" s="681">
        <v>45801</v>
      </c>
      <c r="I406" s="678">
        <f t="shared" si="69"/>
        <v>1589383.9119484427</v>
      </c>
      <c r="J406" s="678"/>
      <c r="K406" s="678">
        <f t="shared" si="71"/>
        <v>189.41972649248564</v>
      </c>
      <c r="L406" s="678"/>
      <c r="M406" s="678">
        <f t="shared" si="70"/>
        <v>1589573.3316749351</v>
      </c>
      <c r="O406" s="681">
        <v>45801</v>
      </c>
      <c r="P406" s="678">
        <f t="shared" si="65"/>
        <v>1359.7743904310912</v>
      </c>
      <c r="Q406" s="678"/>
      <c r="R406" s="678">
        <f t="shared" si="73"/>
        <v>0.16205530406507523</v>
      </c>
      <c r="S406" s="679"/>
      <c r="T406" s="680">
        <f t="shared" si="66"/>
        <v>1359.9364457351562</v>
      </c>
    </row>
    <row r="407" spans="1:20">
      <c r="A407" s="681">
        <v>45802</v>
      </c>
      <c r="B407" s="678">
        <f t="shared" si="67"/>
        <v>576720.25911468919</v>
      </c>
      <c r="C407" s="678"/>
      <c r="D407" s="678">
        <f t="shared" si="72"/>
        <v>68.732414442435555</v>
      </c>
      <c r="E407" s="678"/>
      <c r="F407" s="678">
        <f t="shared" si="68"/>
        <v>576788.99152913166</v>
      </c>
      <c r="H407" s="681">
        <v>45802</v>
      </c>
      <c r="I407" s="678">
        <f t="shared" si="69"/>
        <v>1589573.3316749351</v>
      </c>
      <c r="J407" s="678"/>
      <c r="K407" s="678">
        <f t="shared" si="71"/>
        <v>189.44230117221827</v>
      </c>
      <c r="L407" s="678"/>
      <c r="M407" s="678">
        <f t="shared" si="70"/>
        <v>1589762.7739761074</v>
      </c>
      <c r="O407" s="681">
        <v>45802</v>
      </c>
      <c r="P407" s="678">
        <f t="shared" si="65"/>
        <v>1359.9364457351562</v>
      </c>
      <c r="Q407" s="678"/>
      <c r="R407" s="678">
        <f t="shared" si="73"/>
        <v>0.16207461750542271</v>
      </c>
      <c r="S407" s="679"/>
      <c r="T407" s="680">
        <f t="shared" si="66"/>
        <v>1360.0985203526616</v>
      </c>
    </row>
    <row r="408" spans="1:20">
      <c r="A408" s="682">
        <v>45803</v>
      </c>
      <c r="B408" s="678">
        <f t="shared" si="67"/>
        <v>576788.99152913166</v>
      </c>
      <c r="C408" s="678"/>
      <c r="D408" s="678">
        <f t="shared" si="72"/>
        <v>68.740605839773224</v>
      </c>
      <c r="E408" s="678"/>
      <c r="F408" s="678">
        <f t="shared" si="68"/>
        <v>576857.73213497142</v>
      </c>
      <c r="H408" s="682">
        <v>45803</v>
      </c>
      <c r="I408" s="678">
        <f t="shared" si="69"/>
        <v>1589762.7739761074</v>
      </c>
      <c r="J408" s="678"/>
      <c r="K408" s="678">
        <f t="shared" si="71"/>
        <v>189.46487854235798</v>
      </c>
      <c r="L408" s="678"/>
      <c r="M408" s="678">
        <f t="shared" si="70"/>
        <v>1589952.2388546497</v>
      </c>
      <c r="O408" s="682">
        <v>45803</v>
      </c>
      <c r="P408" s="678">
        <f t="shared" si="65"/>
        <v>1360.0985203526616</v>
      </c>
      <c r="Q408" s="678"/>
      <c r="R408" s="678">
        <f t="shared" si="73"/>
        <v>0.16209393324750898</v>
      </c>
      <c r="S408" s="679"/>
      <c r="T408" s="680">
        <f t="shared" si="66"/>
        <v>1360.260614285909</v>
      </c>
    </row>
    <row r="409" spans="1:20">
      <c r="A409" s="681">
        <v>45804</v>
      </c>
      <c r="B409" s="678">
        <f t="shared" si="67"/>
        <v>576857.73213497142</v>
      </c>
      <c r="C409" s="678"/>
      <c r="D409" s="678">
        <f t="shared" si="72"/>
        <v>68.748798213345907</v>
      </c>
      <c r="E409" s="678"/>
      <c r="F409" s="678">
        <f t="shared" si="68"/>
        <v>576926.48093318474</v>
      </c>
      <c r="H409" s="681">
        <v>45804</v>
      </c>
      <c r="I409" s="678">
        <f t="shared" si="69"/>
        <v>1589952.2388546497</v>
      </c>
      <c r="J409" s="678"/>
      <c r="K409" s="678">
        <f t="shared" si="71"/>
        <v>189.48745860322538</v>
      </c>
      <c r="L409" s="678"/>
      <c r="M409" s="678">
        <f t="shared" si="70"/>
        <v>1590141.7263132529</v>
      </c>
      <c r="O409" s="681">
        <v>45804</v>
      </c>
      <c r="P409" s="678">
        <f t="shared" si="65"/>
        <v>1360.260614285909</v>
      </c>
      <c r="Q409" s="678"/>
      <c r="R409" s="678">
        <f t="shared" si="73"/>
        <v>0.16211325129160831</v>
      </c>
      <c r="S409" s="679"/>
      <c r="T409" s="680">
        <f t="shared" si="66"/>
        <v>1360.4227275372007</v>
      </c>
    </row>
    <row r="410" spans="1:20">
      <c r="A410" s="681">
        <v>45805</v>
      </c>
      <c r="B410" s="678">
        <f t="shared" si="67"/>
        <v>576926.48093318474</v>
      </c>
      <c r="C410" s="678"/>
      <c r="D410" s="678">
        <f t="shared" si="72"/>
        <v>68.756991563269963</v>
      </c>
      <c r="E410" s="678"/>
      <c r="F410" s="678">
        <f t="shared" si="68"/>
        <v>576995.23792474798</v>
      </c>
      <c r="H410" s="681">
        <v>45805</v>
      </c>
      <c r="I410" s="678">
        <f t="shared" si="69"/>
        <v>1590141.7263132529</v>
      </c>
      <c r="J410" s="678"/>
      <c r="K410" s="678">
        <f t="shared" si="71"/>
        <v>189.51004135514108</v>
      </c>
      <c r="L410" s="678"/>
      <c r="M410" s="678">
        <f t="shared" si="70"/>
        <v>1590331.2363546081</v>
      </c>
      <c r="O410" s="681">
        <v>45805</v>
      </c>
      <c r="P410" s="678">
        <f t="shared" si="65"/>
        <v>1360.4227275372007</v>
      </c>
      <c r="Q410" s="678"/>
      <c r="R410" s="678">
        <f t="shared" si="73"/>
        <v>0.16213257163799513</v>
      </c>
      <c r="S410" s="679"/>
      <c r="T410" s="680">
        <f t="shared" si="66"/>
        <v>1360.5848601088387</v>
      </c>
    </row>
    <row r="411" spans="1:20">
      <c r="A411" s="682">
        <v>45806</v>
      </c>
      <c r="B411" s="678">
        <f t="shared" si="67"/>
        <v>576995.23792474798</v>
      </c>
      <c r="C411" s="678"/>
      <c r="D411" s="678">
        <f t="shared" si="72"/>
        <v>68.765185889661737</v>
      </c>
      <c r="E411" s="678"/>
      <c r="F411" s="678">
        <f t="shared" si="68"/>
        <v>577064.00311063766</v>
      </c>
      <c r="H411" s="682">
        <v>45806</v>
      </c>
      <c r="I411" s="678">
        <f t="shared" si="69"/>
        <v>1590331.2363546081</v>
      </c>
      <c r="J411" s="678"/>
      <c r="K411" s="678">
        <f t="shared" si="71"/>
        <v>189.53262679842587</v>
      </c>
      <c r="L411" s="678"/>
      <c r="M411" s="678">
        <f t="shared" si="70"/>
        <v>1590520.7689814065</v>
      </c>
      <c r="O411" s="682">
        <v>45806</v>
      </c>
      <c r="P411" s="678">
        <f t="shared" si="65"/>
        <v>1360.5848601088387</v>
      </c>
      <c r="Q411" s="678"/>
      <c r="R411" s="678">
        <f t="shared" si="73"/>
        <v>0.16215189428694377</v>
      </c>
      <c r="S411" s="679"/>
      <c r="T411" s="680">
        <f t="shared" si="66"/>
        <v>1360.7470120031257</v>
      </c>
    </row>
    <row r="412" spans="1:20">
      <c r="A412" s="681">
        <v>45807</v>
      </c>
      <c r="B412" s="678">
        <f t="shared" si="67"/>
        <v>577064.00311063766</v>
      </c>
      <c r="C412" s="678"/>
      <c r="D412" s="678">
        <f t="shared" si="72"/>
        <v>68.773381192637629</v>
      </c>
      <c r="E412" s="678"/>
      <c r="F412" s="678">
        <f t="shared" si="68"/>
        <v>577132.77649183024</v>
      </c>
      <c r="H412" s="681">
        <v>45807</v>
      </c>
      <c r="I412" s="678">
        <f t="shared" si="69"/>
        <v>1590520.7689814065</v>
      </c>
      <c r="J412" s="678"/>
      <c r="K412" s="678">
        <f t="shared" si="71"/>
        <v>189.55521493340046</v>
      </c>
      <c r="L412" s="678"/>
      <c r="M412" s="678">
        <f t="shared" si="70"/>
        <v>1590710.3241963398</v>
      </c>
      <c r="O412" s="681">
        <v>45807</v>
      </c>
      <c r="P412" s="678">
        <f t="shared" si="65"/>
        <v>1360.7470120031257</v>
      </c>
      <c r="Q412" s="678"/>
      <c r="R412" s="678">
        <f t="shared" si="73"/>
        <v>0.16217121923872868</v>
      </c>
      <c r="S412" s="679"/>
      <c r="T412" s="680">
        <f t="shared" si="66"/>
        <v>1360.9091832223644</v>
      </c>
    </row>
    <row r="413" spans="1:20">
      <c r="A413" s="681">
        <v>45808</v>
      </c>
      <c r="B413" s="678">
        <f t="shared" si="67"/>
        <v>577132.77649183024</v>
      </c>
      <c r="C413" s="678"/>
      <c r="D413" s="678">
        <f t="shared" si="72"/>
        <v>68.781577472314012</v>
      </c>
      <c r="E413" s="678">
        <f>+$E$109</f>
        <v>81000.5</v>
      </c>
      <c r="F413" s="678">
        <f t="shared" si="68"/>
        <v>496201.05806930258</v>
      </c>
      <c r="H413" s="681">
        <v>45808</v>
      </c>
      <c r="I413" s="678">
        <f t="shared" si="69"/>
        <v>1590710.3241963398</v>
      </c>
      <c r="J413" s="678"/>
      <c r="K413" s="678">
        <f t="shared" si="71"/>
        <v>189.57780576038567</v>
      </c>
      <c r="L413" s="678"/>
      <c r="M413" s="678">
        <f t="shared" si="70"/>
        <v>1590899.9020021001</v>
      </c>
      <c r="O413" s="681">
        <v>45808</v>
      </c>
      <c r="P413" s="678">
        <f t="shared" ref="P413:P418" si="74">+T412</f>
        <v>1360.9091832223644</v>
      </c>
      <c r="Q413" s="678"/>
      <c r="R413" s="678">
        <f t="shared" si="73"/>
        <v>0.16219054649362424</v>
      </c>
      <c r="S413" s="679"/>
      <c r="T413" s="680">
        <f t="shared" ref="T413:T443" si="75">+P413+Q413+R413-S413</f>
        <v>1361.0713737688579</v>
      </c>
    </row>
    <row r="414" spans="1:20">
      <c r="A414" s="682">
        <v>45809</v>
      </c>
      <c r="B414" s="678">
        <f t="shared" si="67"/>
        <v>496201.05806930258</v>
      </c>
      <c r="C414" s="678"/>
      <c r="D414" s="678">
        <f t="shared" si="72"/>
        <v>59.136290482231949</v>
      </c>
      <c r="E414" s="678"/>
      <c r="F414" s="678">
        <f t="shared" si="68"/>
        <v>496260.19435978483</v>
      </c>
      <c r="H414" s="682">
        <v>45809</v>
      </c>
      <c r="I414" s="678">
        <f t="shared" si="69"/>
        <v>1590899.9020021001</v>
      </c>
      <c r="J414" s="678"/>
      <c r="K414" s="678">
        <f t="shared" si="71"/>
        <v>189.60039927970234</v>
      </c>
      <c r="L414" s="678"/>
      <c r="M414" s="678">
        <f t="shared" si="70"/>
        <v>1591089.5024013799</v>
      </c>
      <c r="O414" s="682">
        <v>45809</v>
      </c>
      <c r="P414" s="678">
        <f t="shared" si="74"/>
        <v>1361.0713737688579</v>
      </c>
      <c r="Q414" s="678"/>
      <c r="R414" s="678">
        <f t="shared" si="73"/>
        <v>0.16220987605190498</v>
      </c>
      <c r="S414" s="679"/>
      <c r="T414" s="680">
        <f t="shared" si="75"/>
        <v>1361.2335836449099</v>
      </c>
    </row>
    <row r="415" spans="1:20">
      <c r="A415" s="681">
        <v>45810</v>
      </c>
      <c r="B415" s="678">
        <f t="shared" si="67"/>
        <v>496260.19435978483</v>
      </c>
      <c r="C415" s="678"/>
      <c r="D415" s="678">
        <f t="shared" si="72"/>
        <v>59.143338231919557</v>
      </c>
      <c r="E415" s="678"/>
      <c r="F415" s="678">
        <f t="shared" si="68"/>
        <v>496319.33769801672</v>
      </c>
      <c r="H415" s="681">
        <v>45810</v>
      </c>
      <c r="I415" s="678">
        <f t="shared" si="69"/>
        <v>1591089.5024013799</v>
      </c>
      <c r="J415" s="678"/>
      <c r="K415" s="678">
        <f t="shared" si="71"/>
        <v>189.62299549167128</v>
      </c>
      <c r="L415" s="678"/>
      <c r="M415" s="678">
        <f t="shared" si="70"/>
        <v>1591279.1253968715</v>
      </c>
      <c r="O415" s="681">
        <v>45810</v>
      </c>
      <c r="P415" s="678">
        <f t="shared" si="74"/>
        <v>1361.2335836449099</v>
      </c>
      <c r="Q415" s="678"/>
      <c r="R415" s="678">
        <f t="shared" si="73"/>
        <v>0.1622292079138454</v>
      </c>
      <c r="S415" s="679"/>
      <c r="T415" s="680">
        <f t="shared" si="75"/>
        <v>1361.3958128528238</v>
      </c>
    </row>
    <row r="416" spans="1:20">
      <c r="A416" s="681">
        <v>45811</v>
      </c>
      <c r="B416" s="678">
        <f t="shared" si="67"/>
        <v>496319.33769801672</v>
      </c>
      <c r="C416" s="678"/>
      <c r="D416" s="678">
        <f t="shared" si="72"/>
        <v>59.150386821544458</v>
      </c>
      <c r="E416" s="678"/>
      <c r="F416" s="678">
        <f t="shared" si="68"/>
        <v>496378.48808483826</v>
      </c>
      <c r="H416" s="681">
        <v>45811</v>
      </c>
      <c r="I416" s="678">
        <f t="shared" si="69"/>
        <v>1591279.1253968715</v>
      </c>
      <c r="J416" s="678"/>
      <c r="K416" s="678">
        <f t="shared" si="71"/>
        <v>189.64559439661346</v>
      </c>
      <c r="L416" s="678"/>
      <c r="M416" s="678">
        <f t="shared" si="70"/>
        <v>1591468.7709912681</v>
      </c>
      <c r="O416" s="681">
        <v>45811</v>
      </c>
      <c r="P416" s="678">
        <f t="shared" si="74"/>
        <v>1361.3958128528238</v>
      </c>
      <c r="Q416" s="678"/>
      <c r="R416" s="678">
        <f t="shared" si="73"/>
        <v>0.16224854207972009</v>
      </c>
      <c r="S416" s="679"/>
      <c r="T416" s="680">
        <f t="shared" si="75"/>
        <v>1361.5580613949035</v>
      </c>
    </row>
    <row r="417" spans="1:20">
      <c r="A417" s="682">
        <v>45812</v>
      </c>
      <c r="B417" s="678">
        <f t="shared" si="67"/>
        <v>496378.48808483826</v>
      </c>
      <c r="C417" s="678"/>
      <c r="D417" s="678">
        <f t="shared" si="72"/>
        <v>59.15743625120674</v>
      </c>
      <c r="E417" s="678"/>
      <c r="F417" s="678">
        <f t="shared" si="68"/>
        <v>496437.64552108949</v>
      </c>
      <c r="H417" s="682">
        <v>45812</v>
      </c>
      <c r="I417" s="678">
        <f t="shared" si="69"/>
        <v>1591468.7709912681</v>
      </c>
      <c r="J417" s="678"/>
      <c r="K417" s="678">
        <f t="shared" si="71"/>
        <v>189.66819599484973</v>
      </c>
      <c r="L417" s="678"/>
      <c r="M417" s="678">
        <f t="shared" si="70"/>
        <v>1591658.4391872629</v>
      </c>
      <c r="O417" s="682">
        <v>45812</v>
      </c>
      <c r="P417" s="678">
        <f t="shared" si="74"/>
        <v>1361.5580613949035</v>
      </c>
      <c r="Q417" s="678"/>
      <c r="R417" s="678">
        <f t="shared" si="73"/>
        <v>0.16226787854980357</v>
      </c>
      <c r="S417" s="679"/>
      <c r="T417" s="680">
        <f t="shared" si="75"/>
        <v>1361.7203292734532</v>
      </c>
    </row>
    <row r="418" spans="1:20">
      <c r="A418" s="681">
        <v>45813</v>
      </c>
      <c r="B418" s="678">
        <f t="shared" si="67"/>
        <v>496437.64552108949</v>
      </c>
      <c r="C418" s="678"/>
      <c r="D418" s="678">
        <f t="shared" si="72"/>
        <v>59.164486521006552</v>
      </c>
      <c r="E418" s="678"/>
      <c r="F418" s="678">
        <f t="shared" si="68"/>
        <v>496496.81000761047</v>
      </c>
      <c r="H418" s="681">
        <v>45813</v>
      </c>
      <c r="I418" s="678">
        <f t="shared" si="69"/>
        <v>1591658.4391872629</v>
      </c>
      <c r="J418" s="678"/>
      <c r="K418" s="678">
        <f t="shared" si="71"/>
        <v>189.69080028670118</v>
      </c>
      <c r="L418" s="678"/>
      <c r="M418" s="678">
        <f t="shared" si="70"/>
        <v>1591848.1299875495</v>
      </c>
      <c r="O418" s="681">
        <v>45813</v>
      </c>
      <c r="P418" s="678">
        <f t="shared" si="74"/>
        <v>1361.7203292734532</v>
      </c>
      <c r="Q418" s="678"/>
      <c r="R418" s="678">
        <f t="shared" si="73"/>
        <v>0.16228721732437043</v>
      </c>
      <c r="S418" s="679">
        <f>+P418+R418</f>
        <v>1361.8826164907775</v>
      </c>
      <c r="T418" s="680">
        <f t="shared" si="75"/>
        <v>0</v>
      </c>
    </row>
    <row r="419" spans="1:20">
      <c r="A419" s="681">
        <v>45814</v>
      </c>
      <c r="B419" s="678">
        <f t="shared" si="67"/>
        <v>496496.81000761047</v>
      </c>
      <c r="C419" s="678"/>
      <c r="D419" s="678">
        <f t="shared" si="72"/>
        <v>59.171537631043982</v>
      </c>
      <c r="E419" s="678"/>
      <c r="F419" s="678">
        <f t="shared" si="68"/>
        <v>496555.98154524149</v>
      </c>
      <c r="H419" s="681">
        <v>45814</v>
      </c>
      <c r="I419" s="678">
        <f t="shared" si="69"/>
        <v>1591848.1299875495</v>
      </c>
      <c r="J419" s="678"/>
      <c r="K419" s="678">
        <f t="shared" si="71"/>
        <v>189.71340727248875</v>
      </c>
      <c r="L419" s="678"/>
      <c r="M419" s="678">
        <f t="shared" si="70"/>
        <v>1592037.843394822</v>
      </c>
      <c r="O419" s="681">
        <v>45814</v>
      </c>
      <c r="P419" s="678">
        <f t="shared" ref="P419:P443" si="76">+T418</f>
        <v>0</v>
      </c>
      <c r="Q419" s="678"/>
      <c r="R419" s="678">
        <f t="shared" ref="R419:R443" si="77">SUM(P419*$K$1)/365</f>
        <v>0</v>
      </c>
      <c r="S419" s="679"/>
      <c r="T419" s="680">
        <f t="shared" si="75"/>
        <v>0</v>
      </c>
    </row>
    <row r="420" spans="1:20">
      <c r="A420" s="682">
        <v>45815</v>
      </c>
      <c r="B420" s="678">
        <f t="shared" si="67"/>
        <v>496555.98154524149</v>
      </c>
      <c r="C420" s="678"/>
      <c r="D420" s="678">
        <f t="shared" si="72"/>
        <v>59.178589581419189</v>
      </c>
      <c r="E420" s="678"/>
      <c r="F420" s="678">
        <f t="shared" si="68"/>
        <v>496615.16013482289</v>
      </c>
      <c r="H420" s="682">
        <v>45815</v>
      </c>
      <c r="I420" s="678">
        <f t="shared" si="69"/>
        <v>1592037.843394822</v>
      </c>
      <c r="J420" s="678"/>
      <c r="K420" s="678">
        <f t="shared" si="71"/>
        <v>189.73601695253356</v>
      </c>
      <c r="L420" s="678"/>
      <c r="M420" s="678">
        <f t="shared" si="70"/>
        <v>1592227.5794117744</v>
      </c>
      <c r="O420" s="682">
        <v>45815</v>
      </c>
      <c r="P420" s="678">
        <f t="shared" si="76"/>
        <v>0</v>
      </c>
      <c r="Q420" s="678"/>
      <c r="R420" s="678">
        <f t="shared" si="77"/>
        <v>0</v>
      </c>
      <c r="S420" s="679"/>
      <c r="T420" s="680">
        <f t="shared" si="75"/>
        <v>0</v>
      </c>
    </row>
    <row r="421" spans="1:20">
      <c r="A421" s="681">
        <v>45816</v>
      </c>
      <c r="B421" s="678">
        <f t="shared" si="67"/>
        <v>496615.16013482289</v>
      </c>
      <c r="C421" s="678"/>
      <c r="D421" s="678">
        <f t="shared" si="72"/>
        <v>59.185642372232316</v>
      </c>
      <c r="E421" s="678"/>
      <c r="F421" s="678">
        <f t="shared" si="68"/>
        <v>496674.34577719512</v>
      </c>
      <c r="H421" s="681">
        <v>45816</v>
      </c>
      <c r="I421" s="678">
        <f t="shared" si="69"/>
        <v>1592227.5794117744</v>
      </c>
      <c r="J421" s="678"/>
      <c r="K421" s="678">
        <f t="shared" si="71"/>
        <v>189.75862932715665</v>
      </c>
      <c r="L421" s="678"/>
      <c r="M421" s="678">
        <f t="shared" si="70"/>
        <v>1592417.3380411016</v>
      </c>
      <c r="O421" s="681">
        <v>45816</v>
      </c>
      <c r="P421" s="678">
        <f t="shared" si="76"/>
        <v>0</v>
      </c>
      <c r="Q421" s="678"/>
      <c r="R421" s="678">
        <f t="shared" si="77"/>
        <v>0</v>
      </c>
      <c r="S421" s="679"/>
      <c r="T421" s="680">
        <f t="shared" si="75"/>
        <v>0</v>
      </c>
    </row>
    <row r="422" spans="1:20">
      <c r="A422" s="681">
        <v>45817</v>
      </c>
      <c r="B422" s="678">
        <f t="shared" si="67"/>
        <v>496674.34577719512</v>
      </c>
      <c r="C422" s="678"/>
      <c r="D422" s="678">
        <f t="shared" si="72"/>
        <v>59.192696003583521</v>
      </c>
      <c r="E422" s="678"/>
      <c r="F422" s="678">
        <f t="shared" si="68"/>
        <v>496733.53847319871</v>
      </c>
      <c r="H422" s="681">
        <v>45817</v>
      </c>
      <c r="I422" s="678">
        <f t="shared" si="69"/>
        <v>1592417.3380411016</v>
      </c>
      <c r="J422" s="678"/>
      <c r="K422" s="678">
        <f t="shared" si="71"/>
        <v>189.78124439667923</v>
      </c>
      <c r="L422" s="678"/>
      <c r="M422" s="678">
        <f t="shared" si="70"/>
        <v>1592607.1192854983</v>
      </c>
      <c r="O422" s="681">
        <v>45817</v>
      </c>
      <c r="P422" s="678">
        <f t="shared" si="76"/>
        <v>0</v>
      </c>
      <c r="Q422" s="678"/>
      <c r="R422" s="678">
        <f t="shared" si="77"/>
        <v>0</v>
      </c>
      <c r="S422" s="679"/>
      <c r="T422" s="680">
        <f t="shared" si="75"/>
        <v>0</v>
      </c>
    </row>
    <row r="423" spans="1:20">
      <c r="A423" s="682">
        <v>45818</v>
      </c>
      <c r="B423" s="678">
        <f t="shared" si="67"/>
        <v>496733.53847319871</v>
      </c>
      <c r="C423" s="678"/>
      <c r="D423" s="678">
        <f t="shared" si="72"/>
        <v>59.199750475572991</v>
      </c>
      <c r="E423" s="678"/>
      <c r="F423" s="678">
        <f t="shared" si="68"/>
        <v>496792.7382236743</v>
      </c>
      <c r="H423" s="682">
        <v>45818</v>
      </c>
      <c r="I423" s="678">
        <f t="shared" si="69"/>
        <v>1592607.1192854983</v>
      </c>
      <c r="J423" s="678"/>
      <c r="K423" s="678">
        <f t="shared" si="71"/>
        <v>189.80386216142239</v>
      </c>
      <c r="L423" s="678"/>
      <c r="M423" s="678">
        <f t="shared" si="70"/>
        <v>1592796.9231476597</v>
      </c>
      <c r="O423" s="682">
        <v>45818</v>
      </c>
      <c r="P423" s="678">
        <f t="shared" si="76"/>
        <v>0</v>
      </c>
      <c r="Q423" s="678"/>
      <c r="R423" s="678">
        <f t="shared" si="77"/>
        <v>0</v>
      </c>
      <c r="S423" s="679"/>
      <c r="T423" s="680">
        <f t="shared" si="75"/>
        <v>0</v>
      </c>
    </row>
    <row r="424" spans="1:20">
      <c r="A424" s="681">
        <v>45819</v>
      </c>
      <c r="B424" s="678">
        <f t="shared" si="67"/>
        <v>496792.7382236743</v>
      </c>
      <c r="C424" s="678"/>
      <c r="D424" s="678">
        <f t="shared" si="72"/>
        <v>59.206805788300905</v>
      </c>
      <c r="E424" s="678"/>
      <c r="F424" s="678">
        <f t="shared" si="68"/>
        <v>496851.94502946263</v>
      </c>
      <c r="H424" s="681">
        <v>45819</v>
      </c>
      <c r="I424" s="678">
        <f t="shared" si="69"/>
        <v>1592796.9231476597</v>
      </c>
      <c r="J424" s="678"/>
      <c r="K424" s="678">
        <f t="shared" si="71"/>
        <v>189.82648262170738</v>
      </c>
      <c r="L424" s="678"/>
      <c r="M424" s="678">
        <f t="shared" si="70"/>
        <v>1592986.7496302815</v>
      </c>
      <c r="O424" s="681">
        <v>45819</v>
      </c>
      <c r="P424" s="678">
        <f t="shared" si="76"/>
        <v>0</v>
      </c>
      <c r="Q424" s="678"/>
      <c r="R424" s="678">
        <f t="shared" si="77"/>
        <v>0</v>
      </c>
      <c r="S424" s="679"/>
      <c r="T424" s="680">
        <f t="shared" si="75"/>
        <v>0</v>
      </c>
    </row>
    <row r="425" spans="1:20">
      <c r="A425" s="681">
        <v>45820</v>
      </c>
      <c r="B425" s="678">
        <f t="shared" si="67"/>
        <v>496851.94502946263</v>
      </c>
      <c r="C425" s="678"/>
      <c r="D425" s="678">
        <f t="shared" si="72"/>
        <v>59.213861941867464</v>
      </c>
      <c r="E425" s="678"/>
      <c r="F425" s="678">
        <f t="shared" si="68"/>
        <v>496911.15889140451</v>
      </c>
      <c r="H425" s="681">
        <v>45820</v>
      </c>
      <c r="I425" s="678">
        <f t="shared" si="69"/>
        <v>1592986.7496302815</v>
      </c>
      <c r="J425" s="678"/>
      <c r="K425" s="678">
        <f t="shared" si="71"/>
        <v>189.84910577785544</v>
      </c>
      <c r="L425" s="678"/>
      <c r="M425" s="678">
        <f t="shared" si="70"/>
        <v>1593176.5987360594</v>
      </c>
      <c r="O425" s="681">
        <v>45820</v>
      </c>
      <c r="P425" s="678">
        <f t="shared" si="76"/>
        <v>0</v>
      </c>
      <c r="Q425" s="678"/>
      <c r="R425" s="678">
        <f t="shared" si="77"/>
        <v>0</v>
      </c>
      <c r="S425" s="679"/>
      <c r="T425" s="680">
        <f t="shared" si="75"/>
        <v>0</v>
      </c>
    </row>
    <row r="426" spans="1:20">
      <c r="A426" s="682">
        <v>45821</v>
      </c>
      <c r="B426" s="678">
        <f t="shared" si="67"/>
        <v>496911.15889140451</v>
      </c>
      <c r="C426" s="678"/>
      <c r="D426" s="678">
        <f t="shared" si="72"/>
        <v>59.220918936372868</v>
      </c>
      <c r="E426" s="678"/>
      <c r="F426" s="678">
        <f t="shared" si="68"/>
        <v>496970.37981034088</v>
      </c>
      <c r="H426" s="682">
        <v>45821</v>
      </c>
      <c r="I426" s="678">
        <f t="shared" si="69"/>
        <v>1593176.5987360594</v>
      </c>
      <c r="J426" s="678"/>
      <c r="K426" s="678">
        <f t="shared" si="71"/>
        <v>189.8717316301879</v>
      </c>
      <c r="L426" s="678"/>
      <c r="M426" s="678">
        <f t="shared" si="70"/>
        <v>1593366.4704676897</v>
      </c>
      <c r="O426" s="682">
        <v>45821</v>
      </c>
      <c r="P426" s="678">
        <f t="shared" si="76"/>
        <v>0</v>
      </c>
      <c r="Q426" s="678"/>
      <c r="R426" s="678">
        <f t="shared" si="77"/>
        <v>0</v>
      </c>
      <c r="S426" s="679"/>
      <c r="T426" s="680">
        <f t="shared" si="75"/>
        <v>0</v>
      </c>
    </row>
    <row r="427" spans="1:20">
      <c r="A427" s="681">
        <v>45822</v>
      </c>
      <c r="B427" s="678">
        <f t="shared" si="67"/>
        <v>496970.37981034088</v>
      </c>
      <c r="C427" s="678"/>
      <c r="D427" s="678">
        <f t="shared" si="72"/>
        <v>59.227976771917326</v>
      </c>
      <c r="E427" s="678"/>
      <c r="F427" s="678">
        <f t="shared" si="68"/>
        <v>497029.60778711282</v>
      </c>
      <c r="H427" s="681">
        <v>45822</v>
      </c>
      <c r="I427" s="678">
        <f t="shared" si="69"/>
        <v>1593366.4704676897</v>
      </c>
      <c r="J427" s="678"/>
      <c r="K427" s="678">
        <f t="shared" si="71"/>
        <v>189.89436017902602</v>
      </c>
      <c r="L427" s="678"/>
      <c r="M427" s="678">
        <f t="shared" si="70"/>
        <v>1593556.3648278688</v>
      </c>
      <c r="O427" s="681">
        <v>45822</v>
      </c>
      <c r="P427" s="678">
        <f t="shared" si="76"/>
        <v>0</v>
      </c>
      <c r="Q427" s="678"/>
      <c r="R427" s="678">
        <f t="shared" si="77"/>
        <v>0</v>
      </c>
      <c r="S427" s="679"/>
      <c r="T427" s="680">
        <f t="shared" si="75"/>
        <v>0</v>
      </c>
    </row>
    <row r="428" spans="1:20">
      <c r="A428" s="681">
        <v>45823</v>
      </c>
      <c r="B428" s="678">
        <f t="shared" si="67"/>
        <v>497029.60778711282</v>
      </c>
      <c r="C428" s="678">
        <f>SUM($D$451+$D$452+$D$453)/12</f>
        <v>73029.166666666672</v>
      </c>
      <c r="D428" s="678">
        <f t="shared" si="72"/>
        <v>59.23503544860111</v>
      </c>
      <c r="E428" s="678"/>
      <c r="F428" s="678">
        <f t="shared" si="68"/>
        <v>570118.00948922802</v>
      </c>
      <c r="H428" s="681">
        <v>45823</v>
      </c>
      <c r="I428" s="678">
        <f t="shared" si="69"/>
        <v>1593556.3648278688</v>
      </c>
      <c r="J428" s="678"/>
      <c r="K428" s="678">
        <f t="shared" si="71"/>
        <v>189.91699142469119</v>
      </c>
      <c r="L428" s="678"/>
      <c r="M428" s="678">
        <f t="shared" si="70"/>
        <v>1593746.2818192935</v>
      </c>
      <c r="O428" s="681">
        <v>45823</v>
      </c>
      <c r="P428" s="678">
        <f t="shared" si="76"/>
        <v>0</v>
      </c>
      <c r="Q428" s="678"/>
      <c r="R428" s="678">
        <f t="shared" si="77"/>
        <v>0</v>
      </c>
      <c r="S428" s="679"/>
      <c r="T428" s="680">
        <f t="shared" si="75"/>
        <v>0</v>
      </c>
    </row>
    <row r="429" spans="1:20">
      <c r="A429" s="682">
        <v>45824</v>
      </c>
      <c r="B429" s="678">
        <f t="shared" si="67"/>
        <v>570118.00948922802</v>
      </c>
      <c r="C429" s="678"/>
      <c r="D429" s="678">
        <f t="shared" si="72"/>
        <v>67.945570993921692</v>
      </c>
      <c r="E429" s="678"/>
      <c r="F429" s="678">
        <f t="shared" si="68"/>
        <v>570185.95506022195</v>
      </c>
      <c r="H429" s="682">
        <v>45824</v>
      </c>
      <c r="I429" s="678">
        <f t="shared" si="69"/>
        <v>1593746.2818192935</v>
      </c>
      <c r="J429" s="678"/>
      <c r="K429" s="678">
        <f t="shared" si="71"/>
        <v>189.93962536750482</v>
      </c>
      <c r="L429" s="678"/>
      <c r="M429" s="678">
        <f t="shared" si="70"/>
        <v>1593936.221444661</v>
      </c>
      <c r="O429" s="682">
        <v>45824</v>
      </c>
      <c r="P429" s="678">
        <f t="shared" si="76"/>
        <v>0</v>
      </c>
      <c r="Q429" s="678"/>
      <c r="R429" s="678">
        <f t="shared" si="77"/>
        <v>0</v>
      </c>
      <c r="S429" s="679"/>
      <c r="T429" s="680">
        <f t="shared" si="75"/>
        <v>0</v>
      </c>
    </row>
    <row r="430" spans="1:20">
      <c r="A430" s="681">
        <v>45825</v>
      </c>
      <c r="B430" s="678">
        <f t="shared" si="67"/>
        <v>570185.95506022195</v>
      </c>
      <c r="C430" s="678"/>
      <c r="D430" s="678">
        <f t="shared" si="72"/>
        <v>67.95366861676618</v>
      </c>
      <c r="E430" s="678"/>
      <c r="F430" s="678">
        <f t="shared" si="68"/>
        <v>570253.90872883867</v>
      </c>
      <c r="H430" s="681">
        <v>45825</v>
      </c>
      <c r="I430" s="678">
        <f t="shared" si="69"/>
        <v>1593936.221444661</v>
      </c>
      <c r="J430" s="678"/>
      <c r="K430" s="678">
        <f t="shared" si="71"/>
        <v>189.96226200778835</v>
      </c>
      <c r="L430" s="678"/>
      <c r="M430" s="678">
        <f t="shared" si="70"/>
        <v>1594126.1837066689</v>
      </c>
      <c r="O430" s="681">
        <v>45825</v>
      </c>
      <c r="P430" s="678">
        <f t="shared" si="76"/>
        <v>0</v>
      </c>
      <c r="Q430" s="678"/>
      <c r="R430" s="678">
        <f t="shared" si="77"/>
        <v>0</v>
      </c>
      <c r="S430" s="679"/>
      <c r="T430" s="680">
        <f t="shared" si="75"/>
        <v>0</v>
      </c>
    </row>
    <row r="431" spans="1:20">
      <c r="A431" s="681">
        <v>45826</v>
      </c>
      <c r="B431" s="678">
        <f t="shared" si="67"/>
        <v>570253.90872883867</v>
      </c>
      <c r="C431" s="678"/>
      <c r="D431" s="678">
        <f t="shared" si="72"/>
        <v>67.961767204669812</v>
      </c>
      <c r="E431" s="678"/>
      <c r="F431" s="678">
        <f t="shared" si="68"/>
        <v>570321.87049604335</v>
      </c>
      <c r="H431" s="681">
        <v>45826</v>
      </c>
      <c r="I431" s="678">
        <f t="shared" si="69"/>
        <v>1594126.1837066689</v>
      </c>
      <c r="J431" s="678"/>
      <c r="K431" s="678">
        <f t="shared" si="71"/>
        <v>189.98490134586328</v>
      </c>
      <c r="L431" s="678"/>
      <c r="M431" s="678">
        <f t="shared" si="70"/>
        <v>1594316.1686080147</v>
      </c>
      <c r="O431" s="681">
        <v>45826</v>
      </c>
      <c r="P431" s="678">
        <f t="shared" si="76"/>
        <v>0</v>
      </c>
      <c r="Q431" s="678"/>
      <c r="R431" s="678">
        <f t="shared" si="77"/>
        <v>0</v>
      </c>
      <c r="S431" s="679"/>
      <c r="T431" s="680">
        <f t="shared" si="75"/>
        <v>0</v>
      </c>
    </row>
    <row r="432" spans="1:20">
      <c r="A432" s="682">
        <v>45827</v>
      </c>
      <c r="B432" s="678">
        <f t="shared" si="67"/>
        <v>570321.87049604335</v>
      </c>
      <c r="C432" s="678"/>
      <c r="D432" s="678">
        <f t="shared" si="72"/>
        <v>67.969866757747624</v>
      </c>
      <c r="E432" s="678"/>
      <c r="F432" s="678">
        <f t="shared" si="68"/>
        <v>570389.8403628011</v>
      </c>
      <c r="H432" s="682">
        <v>45827</v>
      </c>
      <c r="I432" s="678">
        <f t="shared" si="69"/>
        <v>1594316.1686080147</v>
      </c>
      <c r="J432" s="678"/>
      <c r="K432" s="678">
        <f t="shared" si="71"/>
        <v>190.00754338205104</v>
      </c>
      <c r="L432" s="678"/>
      <c r="M432" s="678">
        <f t="shared" si="70"/>
        <v>1594506.1761513967</v>
      </c>
      <c r="O432" s="682">
        <v>45827</v>
      </c>
      <c r="P432" s="678">
        <f t="shared" si="76"/>
        <v>0</v>
      </c>
      <c r="Q432" s="678"/>
      <c r="R432" s="678">
        <f t="shared" si="77"/>
        <v>0</v>
      </c>
      <c r="S432" s="679"/>
      <c r="T432" s="680">
        <f t="shared" si="75"/>
        <v>0</v>
      </c>
    </row>
    <row r="433" spans="1:20">
      <c r="A433" s="681">
        <v>45828</v>
      </c>
      <c r="B433" s="678">
        <f t="shared" si="67"/>
        <v>570389.8403628011</v>
      </c>
      <c r="C433" s="678"/>
      <c r="D433" s="678">
        <f t="shared" si="72"/>
        <v>67.97796727611464</v>
      </c>
      <c r="E433" s="678"/>
      <c r="F433" s="678">
        <f t="shared" si="68"/>
        <v>570457.81833007722</v>
      </c>
      <c r="H433" s="681">
        <v>45828</v>
      </c>
      <c r="I433" s="678">
        <f t="shared" si="69"/>
        <v>1594506.1761513967</v>
      </c>
      <c r="J433" s="678"/>
      <c r="K433" s="678">
        <f t="shared" si="71"/>
        <v>190.03018811667329</v>
      </c>
      <c r="L433" s="678"/>
      <c r="M433" s="678">
        <f t="shared" si="70"/>
        <v>1594696.2063395134</v>
      </c>
      <c r="O433" s="681">
        <v>45828</v>
      </c>
      <c r="P433" s="678">
        <f t="shared" si="76"/>
        <v>0</v>
      </c>
      <c r="Q433" s="678"/>
      <c r="R433" s="678">
        <f t="shared" si="77"/>
        <v>0</v>
      </c>
      <c r="S433" s="679"/>
      <c r="T433" s="680">
        <f t="shared" si="75"/>
        <v>0</v>
      </c>
    </row>
    <row r="434" spans="1:20">
      <c r="A434" s="681">
        <v>45829</v>
      </c>
      <c r="B434" s="678">
        <f t="shared" si="67"/>
        <v>570457.81833007722</v>
      </c>
      <c r="C434" s="678"/>
      <c r="D434" s="678">
        <f t="shared" si="72"/>
        <v>67.98606875988591</v>
      </c>
      <c r="E434" s="678"/>
      <c r="F434" s="678">
        <f t="shared" si="68"/>
        <v>570525.80439883715</v>
      </c>
      <c r="H434" s="681">
        <v>45829</v>
      </c>
      <c r="I434" s="678">
        <f t="shared" si="69"/>
        <v>1594696.2063395134</v>
      </c>
      <c r="J434" s="678"/>
      <c r="K434" s="678">
        <f t="shared" si="71"/>
        <v>190.05283555005158</v>
      </c>
      <c r="L434" s="678"/>
      <c r="M434" s="678">
        <f t="shared" si="70"/>
        <v>1594886.2591750636</v>
      </c>
      <c r="O434" s="681">
        <v>45829</v>
      </c>
      <c r="P434" s="678">
        <f t="shared" si="76"/>
        <v>0</v>
      </c>
      <c r="Q434" s="678"/>
      <c r="R434" s="678">
        <f t="shared" si="77"/>
        <v>0</v>
      </c>
      <c r="S434" s="679"/>
      <c r="T434" s="680">
        <f t="shared" si="75"/>
        <v>0</v>
      </c>
    </row>
    <row r="435" spans="1:20">
      <c r="A435" s="682">
        <v>45830</v>
      </c>
      <c r="B435" s="678">
        <f t="shared" si="67"/>
        <v>570525.80439883715</v>
      </c>
      <c r="C435" s="678"/>
      <c r="D435" s="678">
        <f t="shared" si="72"/>
        <v>67.994171209176486</v>
      </c>
      <c r="E435" s="678"/>
      <c r="F435" s="678">
        <f t="shared" si="68"/>
        <v>570593.79857004632</v>
      </c>
      <c r="H435" s="682">
        <v>45830</v>
      </c>
      <c r="I435" s="678">
        <f t="shared" si="69"/>
        <v>1594886.2591750636</v>
      </c>
      <c r="J435" s="678"/>
      <c r="K435" s="678">
        <f t="shared" si="71"/>
        <v>190.07548568250758</v>
      </c>
      <c r="L435" s="678"/>
      <c r="M435" s="678">
        <f t="shared" si="70"/>
        <v>1595076.3346607462</v>
      </c>
      <c r="O435" s="682">
        <v>45830</v>
      </c>
      <c r="P435" s="678">
        <f t="shared" si="76"/>
        <v>0</v>
      </c>
      <c r="Q435" s="678"/>
      <c r="R435" s="678">
        <f t="shared" si="77"/>
        <v>0</v>
      </c>
      <c r="S435" s="679"/>
      <c r="T435" s="680">
        <f t="shared" si="75"/>
        <v>0</v>
      </c>
    </row>
    <row r="436" spans="1:20">
      <c r="A436" s="681">
        <v>45831</v>
      </c>
      <c r="B436" s="678">
        <f t="shared" si="67"/>
        <v>570593.79857004632</v>
      </c>
      <c r="C436" s="678"/>
      <c r="D436" s="678">
        <f t="shared" si="72"/>
        <v>68.002274624101403</v>
      </c>
      <c r="E436" s="678"/>
      <c r="F436" s="678">
        <f t="shared" si="68"/>
        <v>570661.80084467039</v>
      </c>
      <c r="H436" s="681">
        <v>45831</v>
      </c>
      <c r="I436" s="678">
        <f t="shared" si="69"/>
        <v>1595076.3346607462</v>
      </c>
      <c r="J436" s="678"/>
      <c r="K436" s="678">
        <f t="shared" si="71"/>
        <v>190.09813851436289</v>
      </c>
      <c r="L436" s="678"/>
      <c r="M436" s="678">
        <f t="shared" si="70"/>
        <v>1595266.4327992606</v>
      </c>
      <c r="O436" s="681">
        <v>45831</v>
      </c>
      <c r="P436" s="678">
        <f t="shared" si="76"/>
        <v>0</v>
      </c>
      <c r="Q436" s="678"/>
      <c r="R436" s="678">
        <f t="shared" si="77"/>
        <v>0</v>
      </c>
      <c r="S436" s="679"/>
      <c r="T436" s="680">
        <f t="shared" si="75"/>
        <v>0</v>
      </c>
    </row>
    <row r="437" spans="1:20">
      <c r="A437" s="681">
        <v>45832</v>
      </c>
      <c r="B437" s="678">
        <f t="shared" si="67"/>
        <v>570661.80084467039</v>
      </c>
      <c r="C437" s="678"/>
      <c r="D437" s="678">
        <f t="shared" si="72"/>
        <v>68.010379004775785</v>
      </c>
      <c r="E437" s="678"/>
      <c r="F437" s="678">
        <f t="shared" si="68"/>
        <v>570729.81122367515</v>
      </c>
      <c r="H437" s="681">
        <v>45832</v>
      </c>
      <c r="I437" s="678">
        <f t="shared" si="69"/>
        <v>1595266.4327992606</v>
      </c>
      <c r="J437" s="678"/>
      <c r="K437" s="678">
        <f t="shared" si="71"/>
        <v>190.12079404593925</v>
      </c>
      <c r="L437" s="678"/>
      <c r="M437" s="678">
        <f t="shared" si="70"/>
        <v>1595456.5535933066</v>
      </c>
      <c r="O437" s="681">
        <v>45832</v>
      </c>
      <c r="P437" s="678">
        <f t="shared" si="76"/>
        <v>0</v>
      </c>
      <c r="Q437" s="678"/>
      <c r="R437" s="678">
        <f t="shared" si="77"/>
        <v>0</v>
      </c>
      <c r="S437" s="679"/>
      <c r="T437" s="680">
        <f t="shared" si="75"/>
        <v>0</v>
      </c>
    </row>
    <row r="438" spans="1:20">
      <c r="A438" s="682">
        <v>45833</v>
      </c>
      <c r="B438" s="678">
        <f t="shared" si="67"/>
        <v>570729.81122367515</v>
      </c>
      <c r="C438" s="678"/>
      <c r="D438" s="678">
        <f t="shared" si="72"/>
        <v>68.018484351314697</v>
      </c>
      <c r="E438" s="678"/>
      <c r="F438" s="678">
        <f t="shared" si="68"/>
        <v>570797.82970802649</v>
      </c>
      <c r="H438" s="682">
        <v>45833</v>
      </c>
      <c r="I438" s="678">
        <f t="shared" si="69"/>
        <v>1595456.5535933066</v>
      </c>
      <c r="J438" s="678"/>
      <c r="K438" s="678">
        <f t="shared" si="71"/>
        <v>190.14345227755842</v>
      </c>
      <c r="L438" s="678"/>
      <c r="M438" s="678">
        <f t="shared" si="70"/>
        <v>1595646.6970455842</v>
      </c>
      <c r="O438" s="682">
        <v>45833</v>
      </c>
      <c r="P438" s="678">
        <f t="shared" si="76"/>
        <v>0</v>
      </c>
      <c r="Q438" s="678"/>
      <c r="R438" s="678">
        <f t="shared" si="77"/>
        <v>0</v>
      </c>
      <c r="S438" s="679"/>
      <c r="T438" s="680">
        <f t="shared" si="75"/>
        <v>0</v>
      </c>
    </row>
    <row r="439" spans="1:20">
      <c r="A439" s="681">
        <v>45834</v>
      </c>
      <c r="B439" s="678">
        <f t="shared" si="67"/>
        <v>570797.82970802649</v>
      </c>
      <c r="C439" s="678"/>
      <c r="D439" s="678">
        <f t="shared" si="72"/>
        <v>68.026590663833289</v>
      </c>
      <c r="E439" s="678"/>
      <c r="F439" s="678">
        <f t="shared" si="68"/>
        <v>570865.85629869031</v>
      </c>
      <c r="H439" s="681">
        <v>45834</v>
      </c>
      <c r="I439" s="678">
        <f t="shared" si="69"/>
        <v>1595646.6970455842</v>
      </c>
      <c r="J439" s="678"/>
      <c r="K439" s="678">
        <f t="shared" si="71"/>
        <v>190.16611320954223</v>
      </c>
      <c r="L439" s="678"/>
      <c r="M439" s="678">
        <f t="shared" si="70"/>
        <v>1595836.8631587937</v>
      </c>
      <c r="O439" s="681">
        <v>45834</v>
      </c>
      <c r="P439" s="678">
        <f t="shared" si="76"/>
        <v>0</v>
      </c>
      <c r="Q439" s="678"/>
      <c r="R439" s="678">
        <f t="shared" si="77"/>
        <v>0</v>
      </c>
      <c r="S439" s="679"/>
      <c r="T439" s="680">
        <f t="shared" si="75"/>
        <v>0</v>
      </c>
    </row>
    <row r="440" spans="1:20">
      <c r="A440" s="681">
        <v>45835</v>
      </c>
      <c r="B440" s="678">
        <f t="shared" si="67"/>
        <v>570865.85629869031</v>
      </c>
      <c r="C440" s="678"/>
      <c r="D440" s="678">
        <f t="shared" si="72"/>
        <v>68.034697942446641</v>
      </c>
      <c r="E440" s="678"/>
      <c r="F440" s="678">
        <f t="shared" si="68"/>
        <v>570933.89099663275</v>
      </c>
      <c r="H440" s="681">
        <v>45835</v>
      </c>
      <c r="I440" s="678">
        <f t="shared" si="69"/>
        <v>1595836.8631587937</v>
      </c>
      <c r="J440" s="678"/>
      <c r="K440" s="678">
        <f t="shared" si="71"/>
        <v>190.18877684221238</v>
      </c>
      <c r="L440" s="678"/>
      <c r="M440" s="678">
        <f t="shared" si="70"/>
        <v>1596027.051935636</v>
      </c>
      <c r="O440" s="681">
        <v>45835</v>
      </c>
      <c r="P440" s="678">
        <f t="shared" si="76"/>
        <v>0</v>
      </c>
      <c r="Q440" s="678"/>
      <c r="R440" s="678">
        <f t="shared" si="77"/>
        <v>0</v>
      </c>
      <c r="S440" s="679"/>
      <c r="T440" s="680">
        <f t="shared" si="75"/>
        <v>0</v>
      </c>
    </row>
    <row r="441" spans="1:20">
      <c r="A441" s="682">
        <v>45836</v>
      </c>
      <c r="B441" s="678">
        <f t="shared" si="67"/>
        <v>570933.89099663275</v>
      </c>
      <c r="C441" s="678"/>
      <c r="D441" s="678">
        <f t="shared" si="72"/>
        <v>68.042806187269932</v>
      </c>
      <c r="E441" s="678"/>
      <c r="F441" s="678">
        <f t="shared" si="68"/>
        <v>571001.93380282004</v>
      </c>
      <c r="H441" s="682">
        <v>45836</v>
      </c>
      <c r="I441" s="678">
        <f t="shared" si="69"/>
        <v>1596027.051935636</v>
      </c>
      <c r="J441" s="678"/>
      <c r="K441" s="678">
        <f t="shared" si="71"/>
        <v>190.21144317589085</v>
      </c>
      <c r="L441" s="678"/>
      <c r="M441" s="678">
        <f t="shared" si="70"/>
        <v>1596217.2633788118</v>
      </c>
      <c r="O441" s="682">
        <v>45836</v>
      </c>
      <c r="P441" s="678">
        <f t="shared" si="76"/>
        <v>0</v>
      </c>
      <c r="Q441" s="678"/>
      <c r="R441" s="678">
        <f t="shared" si="77"/>
        <v>0</v>
      </c>
      <c r="S441" s="679"/>
      <c r="T441" s="680">
        <f t="shared" si="75"/>
        <v>0</v>
      </c>
    </row>
    <row r="442" spans="1:20">
      <c r="A442" s="681">
        <v>45837</v>
      </c>
      <c r="B442" s="678">
        <f t="shared" si="67"/>
        <v>571001.93380282004</v>
      </c>
      <c r="C442" s="678"/>
      <c r="D442" s="678">
        <f t="shared" si="72"/>
        <v>68.050915398418283</v>
      </c>
      <c r="E442" s="678"/>
      <c r="F442" s="678">
        <f t="shared" si="68"/>
        <v>571069.98471821845</v>
      </c>
      <c r="H442" s="681">
        <v>45837</v>
      </c>
      <c r="I442" s="678">
        <f t="shared" si="69"/>
        <v>1596217.2633788118</v>
      </c>
      <c r="J442" s="678"/>
      <c r="K442" s="678">
        <f t="shared" si="71"/>
        <v>190.2341122108995</v>
      </c>
      <c r="L442" s="712">
        <v>131000</v>
      </c>
      <c r="M442" s="678">
        <f t="shared" si="70"/>
        <v>1465407.4974910226</v>
      </c>
      <c r="O442" s="681">
        <v>45837</v>
      </c>
      <c r="P442" s="678">
        <f t="shared" si="76"/>
        <v>0</v>
      </c>
      <c r="Q442" s="678"/>
      <c r="R442" s="678">
        <f t="shared" si="77"/>
        <v>0</v>
      </c>
      <c r="S442" s="679"/>
      <c r="T442" s="680">
        <f t="shared" si="75"/>
        <v>0</v>
      </c>
    </row>
    <row r="443" spans="1:20">
      <c r="A443" s="681">
        <v>45838</v>
      </c>
      <c r="B443" s="678">
        <f t="shared" si="67"/>
        <v>571069.98471821845</v>
      </c>
      <c r="C443" s="678"/>
      <c r="D443" s="678">
        <f t="shared" si="72"/>
        <v>68.059025576006846</v>
      </c>
      <c r="E443" s="678">
        <f>+$E$109</f>
        <v>81000.5</v>
      </c>
      <c r="F443" s="678">
        <f t="shared" si="68"/>
        <v>490137.54374379443</v>
      </c>
      <c r="H443" s="681">
        <v>45838</v>
      </c>
      <c r="I443" s="678">
        <f t="shared" si="69"/>
        <v>1465407.4974910226</v>
      </c>
      <c r="J443" s="678"/>
      <c r="K443" s="678">
        <f t="shared" si="71"/>
        <v>174.64445518043692</v>
      </c>
      <c r="L443" s="678"/>
      <c r="M443" s="678">
        <f t="shared" si="70"/>
        <v>1465582.1419462031</v>
      </c>
      <c r="O443" s="681">
        <v>45838</v>
      </c>
      <c r="P443" s="678">
        <f t="shared" si="76"/>
        <v>0</v>
      </c>
      <c r="Q443" s="678"/>
      <c r="R443" s="678">
        <f t="shared" si="77"/>
        <v>0</v>
      </c>
      <c r="S443" s="679"/>
      <c r="T443" s="680">
        <f t="shared" si="75"/>
        <v>0</v>
      </c>
    </row>
    <row r="444" spans="1:20">
      <c r="S444" s="690">
        <f>SUM(S79:S443)</f>
        <v>16016.072306565635</v>
      </c>
    </row>
    <row r="445" spans="1:20">
      <c r="C445" s="686">
        <f>SUM(C79:C443)</f>
        <v>876349.99999999988</v>
      </c>
      <c r="D445" s="687">
        <f>SUM(D79:D443)</f>
        <v>24962.727864219389</v>
      </c>
      <c r="E445" s="688">
        <f>SUM(E79:E443)</f>
        <v>1222006</v>
      </c>
      <c r="F445" s="689"/>
      <c r="J445" s="687">
        <f>SUM(J79:J443)</f>
        <v>250000</v>
      </c>
      <c r="K445" s="687">
        <f>SUM(K79:K443)</f>
        <v>67645.764113375844</v>
      </c>
      <c r="L445" s="687"/>
      <c r="Q445" s="687">
        <f>SUM(Q79:Q443)</f>
        <v>0</v>
      </c>
      <c r="R445" s="687">
        <f>SUM(R79:R443)</f>
        <v>328.06293380710724</v>
      </c>
    </row>
    <row r="446" spans="1:20">
      <c r="C446" s="690"/>
      <c r="D446" s="690">
        <f>ROUND(D445,0)</f>
        <v>24963</v>
      </c>
      <c r="J446" s="532" t="s">
        <v>754</v>
      </c>
      <c r="K446" s="690">
        <f>+R445</f>
        <v>328.06293380710724</v>
      </c>
    </row>
    <row r="447" spans="1:20">
      <c r="C447" s="691" t="s">
        <v>572</v>
      </c>
      <c r="D447" s="692">
        <f>+D446/12</f>
        <v>2080.25</v>
      </c>
      <c r="K447" s="690">
        <f>ROUND(K445-K446,0)</f>
        <v>67318</v>
      </c>
    </row>
    <row r="448" spans="1:20">
      <c r="C448" s="690"/>
      <c r="D448" s="690"/>
      <c r="E448" s="692"/>
      <c r="J448" s="691"/>
      <c r="K448" s="692"/>
      <c r="L448" s="692"/>
    </row>
    <row r="449" spans="1:12">
      <c r="C449" s="690"/>
      <c r="D449" s="690"/>
      <c r="E449" s="692"/>
      <c r="K449" s="691" t="s">
        <v>579</v>
      </c>
    </row>
    <row r="450" spans="1:12">
      <c r="C450" s="691" t="s">
        <v>579</v>
      </c>
      <c r="K450" s="691" t="s">
        <v>217</v>
      </c>
      <c r="L450" s="690">
        <f>+'YE Projections'!I102</f>
        <v>40000</v>
      </c>
    </row>
    <row r="451" spans="1:12">
      <c r="C451" s="691" t="s">
        <v>588</v>
      </c>
      <c r="D451" s="686">
        <f>+F460+F461+F463+F464</f>
        <v>872750</v>
      </c>
      <c r="K451" s="691" t="s">
        <v>375</v>
      </c>
      <c r="L451" s="690">
        <f>+'YE Projections'!I103</f>
        <v>15000</v>
      </c>
    </row>
    <row r="452" spans="1:12">
      <c r="C452" s="693" t="s">
        <v>11</v>
      </c>
      <c r="D452" s="686">
        <f>+F467</f>
        <v>600</v>
      </c>
      <c r="K452" s="691" t="s">
        <v>71</v>
      </c>
      <c r="L452" s="690">
        <f>+'YE Projections'!I104</f>
        <v>1000</v>
      </c>
    </row>
    <row r="453" spans="1:12">
      <c r="C453" s="691" t="s">
        <v>545</v>
      </c>
      <c r="D453" s="686">
        <f>+'YE Projections'!I11+'YE Projections'!I14</f>
        <v>3000</v>
      </c>
      <c r="E453" s="687"/>
      <c r="K453" s="691" t="s">
        <v>72</v>
      </c>
      <c r="L453" s="690">
        <f>+'YE Projections'!I105</f>
        <v>190000</v>
      </c>
    </row>
    <row r="454" spans="1:12" ht="12" thickBot="1">
      <c r="C454" s="691" t="s">
        <v>580</v>
      </c>
      <c r="D454" s="690">
        <f>+D446</f>
        <v>24963</v>
      </c>
      <c r="E454" s="703"/>
      <c r="K454" s="691"/>
      <c r="L454" s="713">
        <f>SUM(L450:L453)</f>
        <v>246000</v>
      </c>
    </row>
    <row r="455" spans="1:12" ht="12.75" thickTop="1" thickBot="1">
      <c r="C455" s="691"/>
      <c r="D455" s="694">
        <f>SUM(D451:D454)</f>
        <v>901313</v>
      </c>
      <c r="E455" s="704"/>
      <c r="F455" s="689"/>
    </row>
    <row r="456" spans="1:12" ht="12" thickTop="1">
      <c r="C456" s="532" t="s">
        <v>1047</v>
      </c>
      <c r="D456" s="690">
        <v>2360</v>
      </c>
      <c r="E456" s="340"/>
      <c r="J456" s="691"/>
    </row>
    <row r="457" spans="1:12">
      <c r="D457" s="1051">
        <f>SUM(D455:D456)</f>
        <v>903673</v>
      </c>
    </row>
    <row r="459" spans="1:12" ht="23.25" thickBot="1">
      <c r="A459" s="695" t="s">
        <v>222</v>
      </c>
      <c r="C459" s="696" t="s">
        <v>380</v>
      </c>
      <c r="D459" s="697" t="str">
        <f>+'YE Projections'!F3</f>
        <v>6/30/2024 Projection</v>
      </c>
      <c r="E459" s="698" t="str">
        <f>+'YE Projections'!G3</f>
        <v>FY 23-24 Budget</v>
      </c>
      <c r="F459" s="699" t="str">
        <f>+'YE Projections'!I3</f>
        <v>FY 24-25 Proposed</v>
      </c>
    </row>
    <row r="460" spans="1:12">
      <c r="A460" s="532" t="s">
        <v>4</v>
      </c>
      <c r="C460" s="692">
        <f>+'YE Projections'!C6</f>
        <v>806197.3</v>
      </c>
      <c r="D460" s="692">
        <f>+Revenue!C3</f>
        <v>806197.3</v>
      </c>
      <c r="E460" s="692">
        <f>+Revenue!D3</f>
        <v>800000</v>
      </c>
      <c r="F460" s="692">
        <f>+Revenue!E3</f>
        <v>860000</v>
      </c>
    </row>
    <row r="461" spans="1:12">
      <c r="A461" s="532" t="s">
        <v>5</v>
      </c>
      <c r="C461" s="692">
        <f>+'YE Projections'!C7</f>
        <v>7457.37</v>
      </c>
      <c r="D461" s="692">
        <f>+Revenue!C4</f>
        <v>7457.37</v>
      </c>
      <c r="E461" s="692">
        <f>+Revenue!D4</f>
        <v>12000</v>
      </c>
      <c r="F461" s="692">
        <f>+Revenue!E4</f>
        <v>12000</v>
      </c>
    </row>
    <row r="462" spans="1:12">
      <c r="A462" s="532" t="s">
        <v>215</v>
      </c>
      <c r="C462" s="692">
        <f>+'YE Projections'!C8</f>
        <v>34285.769999999997</v>
      </c>
      <c r="D462" s="692">
        <f>+Revenue!C5</f>
        <v>34285.769999999997</v>
      </c>
      <c r="E462" s="692">
        <f>+Revenue!D5</f>
        <v>24544</v>
      </c>
      <c r="F462" s="692">
        <f>+Revenue!E5</f>
        <v>24963</v>
      </c>
    </row>
    <row r="463" spans="1:12">
      <c r="A463" s="532" t="s">
        <v>7</v>
      </c>
      <c r="C463" s="692">
        <f>+'YE Projections'!C9</f>
        <v>798.06</v>
      </c>
      <c r="D463" s="692">
        <f>+Revenue!C6</f>
        <v>798.06</v>
      </c>
      <c r="E463" s="692">
        <f>+Revenue!D6</f>
        <v>950</v>
      </c>
      <c r="F463" s="692">
        <f>+Revenue!E6</f>
        <v>750</v>
      </c>
    </row>
    <row r="464" spans="1:12">
      <c r="A464" s="532" t="s">
        <v>216</v>
      </c>
      <c r="C464" s="692">
        <f>+'YE Projections'!C10</f>
        <v>0</v>
      </c>
      <c r="D464" s="692">
        <f>+Revenue!C7</f>
        <v>0</v>
      </c>
      <c r="E464" s="692">
        <f>+Revenue!D7</f>
        <v>20</v>
      </c>
      <c r="F464" s="692">
        <f>+Revenue!E7</f>
        <v>0</v>
      </c>
    </row>
    <row r="465" spans="1:6">
      <c r="A465" s="532" t="s">
        <v>9</v>
      </c>
      <c r="C465" s="692">
        <f>+'YE Projections'!C11</f>
        <v>3530</v>
      </c>
      <c r="D465" s="692">
        <f>+Revenue!C8</f>
        <v>3530</v>
      </c>
      <c r="E465" s="692">
        <f>+Revenue!D8</f>
        <v>1000</v>
      </c>
      <c r="F465" s="692">
        <f>+Revenue!E8</f>
        <v>2000</v>
      </c>
    </row>
    <row r="466" spans="1:6">
      <c r="A466" s="532" t="s">
        <v>10</v>
      </c>
      <c r="C466" s="692">
        <f>+'YE Projections'!C12</f>
        <v>71199.81</v>
      </c>
      <c r="D466" s="692">
        <f>+Revenue!C9</f>
        <v>71199.81</v>
      </c>
      <c r="E466" s="692">
        <f>+Revenue!D9</f>
        <v>0</v>
      </c>
      <c r="F466" s="692">
        <f>+Revenue!E9</f>
        <v>0</v>
      </c>
    </row>
    <row r="467" spans="1:6">
      <c r="A467" s="532" t="s">
        <v>11</v>
      </c>
      <c r="C467" s="692">
        <f>+'YE Projections'!C13</f>
        <v>655.45</v>
      </c>
      <c r="D467" s="692">
        <f>+Revenue!C10</f>
        <v>655.45</v>
      </c>
      <c r="E467" s="692">
        <f>+Revenue!D10</f>
        <v>310</v>
      </c>
      <c r="F467" s="692">
        <f>+Revenue!E10</f>
        <v>600</v>
      </c>
    </row>
    <row r="468" spans="1:6">
      <c r="A468" s="532" t="s">
        <v>12</v>
      </c>
      <c r="C468" s="692">
        <f>+'YE Projections'!C14</f>
        <v>2911.17</v>
      </c>
      <c r="D468" s="692">
        <f>+Revenue!C11</f>
        <v>2911.17</v>
      </c>
      <c r="E468" s="692">
        <f>+Revenue!D11</f>
        <v>250</v>
      </c>
      <c r="F468" s="692">
        <f>+Revenue!E11</f>
        <v>1000</v>
      </c>
    </row>
    <row r="469" spans="1:6">
      <c r="A469" s="532" t="s">
        <v>13</v>
      </c>
      <c r="C469" s="692">
        <f>+'YE Projections'!C15</f>
        <v>1343.01</v>
      </c>
      <c r="D469" s="692">
        <f>+Revenue!C12</f>
        <v>1343.01</v>
      </c>
      <c r="E469" s="692">
        <f>+Revenue!D12</f>
        <v>0</v>
      </c>
      <c r="F469" s="692">
        <f>+Revenue!E12</f>
        <v>0</v>
      </c>
    </row>
    <row r="470" spans="1:6">
      <c r="A470" s="532" t="s">
        <v>14</v>
      </c>
      <c r="C470" s="692">
        <f>+'YE Projections'!C16</f>
        <v>2355</v>
      </c>
      <c r="D470" s="692">
        <f>+Revenue!C13</f>
        <v>2355</v>
      </c>
      <c r="E470" s="692">
        <f>+Revenue!D13</f>
        <v>2300</v>
      </c>
      <c r="F470" s="692">
        <f>+Revenue!E13</f>
        <v>2360</v>
      </c>
    </row>
    <row r="471" spans="1:6">
      <c r="A471" s="532" t="s">
        <v>531</v>
      </c>
      <c r="C471" s="692">
        <f>+'YE Projections'!C17</f>
        <v>461.22</v>
      </c>
      <c r="D471" s="692">
        <f>+Revenue!C14</f>
        <v>461.22</v>
      </c>
      <c r="E471" s="692">
        <f>+Revenue!D14</f>
        <v>0</v>
      </c>
      <c r="F471" s="692">
        <f>+Revenue!E14</f>
        <v>0</v>
      </c>
    </row>
    <row r="472" spans="1:6">
      <c r="C472" s="692"/>
      <c r="D472" s="692"/>
      <c r="E472" s="692"/>
      <c r="F472" s="692"/>
    </row>
    <row r="473" spans="1:6" ht="12" thickBot="1">
      <c r="C473" s="700">
        <f>SUM(C460:C472)</f>
        <v>931194.16</v>
      </c>
      <c r="D473" s="700">
        <f>SUM(D460:D472)</f>
        <v>931194.16</v>
      </c>
      <c r="E473" s="700">
        <f>SUM(E460:E472)</f>
        <v>841374</v>
      </c>
      <c r="F473" s="700">
        <f>SUM(F460:F472)</f>
        <v>903673</v>
      </c>
    </row>
    <row r="474" spans="1:6" ht="12" thickTop="1">
      <c r="F474" s="690"/>
    </row>
  </sheetData>
  <conditionalFormatting sqref="A12 A14:A443 H13:H443 O13:O443">
    <cfRule type="expression" dxfId="26" priority="58" stopIfTrue="1">
      <formula>IF(ROW(A12)&gt;Last_Row,TRUE, FALSE)</formula>
    </cfRule>
    <cfRule type="expression" dxfId="25" priority="59" stopIfTrue="1">
      <formula>IF(ROW(A12)=Last_Row,TRUE, FALSE)</formula>
    </cfRule>
    <cfRule type="expression" dxfId="24" priority="60" stopIfTrue="1">
      <formula>IF(ROW(A12)&lt;Last_Row,TRUE, FALSE)</formula>
    </cfRule>
  </conditionalFormatting>
  <conditionalFormatting sqref="H5:H10">
    <cfRule type="expression" dxfId="23" priority="40" stopIfTrue="1">
      <formula>IF(ROW(H5)&gt;Last_Row,TRUE, FALSE)</formula>
    </cfRule>
    <cfRule type="expression" dxfId="22" priority="41" stopIfTrue="1">
      <formula>IF(ROW(H5)=Last_Row,TRUE, FALSE)</formula>
    </cfRule>
    <cfRule type="expression" dxfId="21" priority="42" stopIfTrue="1">
      <formula>IF(ROW(H5)&lt;Last_Row,TRUE, FALSE)</formula>
    </cfRule>
  </conditionalFormatting>
  <conditionalFormatting sqref="O9">
    <cfRule type="expression" dxfId="20" priority="34" stopIfTrue="1">
      <formula>IF(ROW(O9)&gt;Last_Row,TRUE, FALSE)</formula>
    </cfRule>
    <cfRule type="expression" dxfId="19" priority="35" stopIfTrue="1">
      <formula>IF(ROW(O9)=Last_Row,TRUE, FALSE)</formula>
    </cfRule>
    <cfRule type="expression" dxfId="18" priority="36" stopIfTrue="1">
      <formula>IF(ROW(O9)&lt;Last_Row,TRUE, FALSE)</formula>
    </cfRule>
  </conditionalFormatting>
  <conditionalFormatting sqref="O12">
    <cfRule type="expression" dxfId="17" priority="22" stopIfTrue="1">
      <formula>IF(ROW(O12)&gt;Last_Row,TRUE, FALSE)</formula>
    </cfRule>
    <cfRule type="expression" dxfId="16" priority="23" stopIfTrue="1">
      <formula>IF(ROW(O12)=Last_Row,TRUE, FALSE)</formula>
    </cfRule>
    <cfRule type="expression" dxfId="15" priority="24" stopIfTrue="1">
      <formula>IF(ROW(O12)&lt;Last_Row,TRUE, FALSE)</formula>
    </cfRule>
  </conditionalFormatting>
  <conditionalFormatting sqref="O5:O8 O10:O11">
    <cfRule type="expression" dxfId="14" priority="37" stopIfTrue="1">
      <formula>IF(ROW(O5)&gt;Last_Row,TRUE, FALSE)</formula>
    </cfRule>
    <cfRule type="expression" dxfId="13" priority="38" stopIfTrue="1">
      <formula>IF(ROW(O5)=Last_Row,TRUE, FALSE)</formula>
    </cfRule>
    <cfRule type="expression" dxfId="12" priority="39" stopIfTrue="1">
      <formula>IF(ROW(O5)&lt;Last_Row,TRUE, FALSE)</formula>
    </cfRule>
  </conditionalFormatting>
  <conditionalFormatting sqref="A5:A11">
    <cfRule type="expression" dxfId="11" priority="28" stopIfTrue="1">
      <formula>IF(ROW(A5)&gt;Last_Row,TRUE, FALSE)</formula>
    </cfRule>
    <cfRule type="expression" dxfId="10" priority="29" stopIfTrue="1">
      <formula>IF(ROW(A5)=Last_Row,TRUE, FALSE)</formula>
    </cfRule>
    <cfRule type="expression" dxfId="9" priority="30" stopIfTrue="1">
      <formula>IF(ROW(A5)&lt;Last_Row,TRUE, FALSE)</formula>
    </cfRule>
  </conditionalFormatting>
  <conditionalFormatting sqref="H12">
    <cfRule type="expression" dxfId="8" priority="10" stopIfTrue="1">
      <formula>IF(ROW(H12)&gt;Last_Row,TRUE, FALSE)</formula>
    </cfRule>
    <cfRule type="expression" dxfId="7" priority="11" stopIfTrue="1">
      <formula>IF(ROW(H12)=Last_Row,TRUE, FALSE)</formula>
    </cfRule>
    <cfRule type="expression" dxfId="6" priority="12" stopIfTrue="1">
      <formula>IF(ROW(H12)&lt;Last_Row,TRUE, FALSE)</formula>
    </cfRule>
  </conditionalFormatting>
  <conditionalFormatting sqref="H11">
    <cfRule type="expression" dxfId="5" priority="7" stopIfTrue="1">
      <formula>IF(ROW(H11)&gt;Last_Row,TRUE, FALSE)</formula>
    </cfRule>
    <cfRule type="expression" dxfId="4" priority="8" stopIfTrue="1">
      <formula>IF(ROW(H11)=Last_Row,TRUE, FALSE)</formula>
    </cfRule>
    <cfRule type="expression" dxfId="3" priority="9" stopIfTrue="1">
      <formula>IF(ROW(H11)&lt;Last_Row,TRUE, FALSE)</formula>
    </cfRule>
  </conditionalFormatting>
  <conditionalFormatting sqref="A13">
    <cfRule type="expression" dxfId="2" priority="1" stopIfTrue="1">
      <formula>IF(ROW(A13)&gt;Last_Row,TRUE, FALSE)</formula>
    </cfRule>
    <cfRule type="expression" dxfId="1" priority="2" stopIfTrue="1">
      <formula>IF(ROW(A13)=Last_Row,TRUE, FALSE)</formula>
    </cfRule>
    <cfRule type="expression" dxfId="0" priority="3" stopIfTrue="1">
      <formula>IF(ROW(A13)&lt;Last_Row,TRUE, FALSE)</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P71"/>
  <sheetViews>
    <sheetView workbookViewId="0"/>
  </sheetViews>
  <sheetFormatPr defaultRowHeight="15"/>
  <cols>
    <col min="1" max="1" width="25.21875" customWidth="1"/>
    <col min="2" max="2" width="13.5546875" customWidth="1"/>
    <col min="3" max="3" width="2.88671875" customWidth="1"/>
    <col min="4" max="4" width="13.33203125" customWidth="1"/>
    <col min="5" max="5" width="2.109375" bestFit="1" customWidth="1"/>
    <col min="6" max="6" width="11.21875" bestFit="1" customWidth="1"/>
    <col min="7" max="7" width="2.109375" bestFit="1" customWidth="1"/>
    <col min="8" max="8" width="13.6640625" customWidth="1"/>
    <col min="11" max="11" width="11.33203125" customWidth="1"/>
  </cols>
  <sheetData>
    <row r="1" spans="1:16" ht="15.75">
      <c r="B1" s="318"/>
      <c r="C1" s="317" t="s">
        <v>84</v>
      </c>
      <c r="E1" s="318"/>
      <c r="F1" s="318"/>
      <c r="G1" s="318"/>
      <c r="H1" s="318"/>
      <c r="I1" s="714"/>
      <c r="J1" s="616"/>
      <c r="K1" s="617"/>
    </row>
    <row r="2" spans="1:16" ht="15.75">
      <c r="B2" s="318"/>
      <c r="C2" s="317" t="s">
        <v>85</v>
      </c>
      <c r="E2" s="318"/>
      <c r="F2" s="318"/>
      <c r="G2" s="318"/>
      <c r="H2" s="318"/>
      <c r="K2" s="618"/>
    </row>
    <row r="3" spans="1:16">
      <c r="B3" s="316"/>
      <c r="C3" s="315" t="s">
        <v>606</v>
      </c>
      <c r="E3" s="316"/>
      <c r="F3" s="316"/>
      <c r="G3" s="316"/>
      <c r="H3" s="316"/>
      <c r="I3" s="6"/>
    </row>
    <row r="4" spans="1:16">
      <c r="A4" s="72"/>
      <c r="B4" s="73"/>
      <c r="C4" s="74"/>
      <c r="D4" s="72"/>
      <c r="E4" s="73"/>
      <c r="F4" s="73"/>
      <c r="G4" s="73"/>
      <c r="H4" s="73"/>
      <c r="I4" s="6"/>
      <c r="K4" s="100"/>
      <c r="L4" s="100"/>
      <c r="M4" s="100"/>
    </row>
    <row r="5" spans="1:16">
      <c r="A5" s="73"/>
      <c r="B5" s="7" t="s">
        <v>86</v>
      </c>
      <c r="C5" s="7"/>
      <c r="D5" s="7" t="s">
        <v>87</v>
      </c>
      <c r="E5" s="73"/>
      <c r="F5" s="7" t="s">
        <v>88</v>
      </c>
      <c r="K5" s="495"/>
      <c r="L5" s="495"/>
      <c r="M5" s="495"/>
      <c r="N5" s="533"/>
      <c r="O5" s="495"/>
      <c r="P5" s="495"/>
    </row>
    <row r="6" spans="1:16">
      <c r="A6" s="73"/>
      <c r="B6" s="8">
        <v>0.38240000000000002</v>
      </c>
      <c r="C6" s="9"/>
      <c r="D6" s="10">
        <v>0.35</v>
      </c>
      <c r="E6" s="73"/>
      <c r="F6" s="9">
        <f>B6+D6</f>
        <v>0.73239999999999994</v>
      </c>
      <c r="K6" s="496"/>
      <c r="L6" s="495"/>
      <c r="N6" s="496"/>
      <c r="O6" s="496"/>
    </row>
    <row r="7" spans="1:16">
      <c r="A7" s="71"/>
      <c r="B7" s="75">
        <f>B6/F6</f>
        <v>0.52211906062261071</v>
      </c>
      <c r="C7" s="76"/>
      <c r="D7" s="75">
        <f>D6/F6</f>
        <v>0.4778809393773894</v>
      </c>
      <c r="E7" s="76"/>
      <c r="F7" s="71"/>
      <c r="K7" s="496"/>
      <c r="L7" s="495"/>
      <c r="M7" s="496"/>
      <c r="N7" s="496"/>
      <c r="O7" s="496"/>
      <c r="P7" s="496"/>
    </row>
    <row r="8" spans="1:16">
      <c r="A8" s="71"/>
      <c r="B8" s="81"/>
      <c r="C8" s="81"/>
      <c r="D8" s="81"/>
      <c r="E8" s="81"/>
      <c r="F8" s="81"/>
      <c r="G8" s="100"/>
      <c r="H8" s="100"/>
      <c r="K8" s="496"/>
      <c r="L8" s="495"/>
      <c r="M8" s="496"/>
      <c r="N8" s="496"/>
      <c r="O8" s="496"/>
    </row>
    <row r="9" spans="1:16">
      <c r="A9" s="331">
        <v>44927</v>
      </c>
      <c r="B9" s="715">
        <v>1225645543</v>
      </c>
      <c r="C9" s="716"/>
      <c r="D9" s="715">
        <v>1159420049</v>
      </c>
      <c r="E9" s="717"/>
      <c r="F9" s="717"/>
      <c r="G9" s="100"/>
      <c r="H9" s="100"/>
      <c r="J9" s="498"/>
      <c r="K9" s="499"/>
      <c r="L9" s="498"/>
      <c r="M9" s="499"/>
      <c r="N9" s="499"/>
      <c r="O9" s="499"/>
      <c r="P9" s="499"/>
    </row>
    <row r="10" spans="1:16">
      <c r="A10" s="71"/>
      <c r="B10" s="81"/>
      <c r="C10" s="81"/>
      <c r="D10" s="81"/>
      <c r="E10" s="81"/>
      <c r="F10" s="81"/>
      <c r="G10" s="100"/>
      <c r="H10" s="100"/>
      <c r="J10" s="499"/>
      <c r="K10" s="500"/>
      <c r="L10" s="500"/>
      <c r="M10" s="499"/>
      <c r="N10" s="500"/>
      <c r="O10" s="495"/>
      <c r="P10" s="495"/>
    </row>
    <row r="11" spans="1:16">
      <c r="A11" s="7" t="s">
        <v>89</v>
      </c>
      <c r="B11" s="718">
        <v>1.03</v>
      </c>
      <c r="C11" s="80"/>
      <c r="D11" s="718">
        <v>1.03</v>
      </c>
      <c r="E11" s="719"/>
      <c r="F11" s="719"/>
      <c r="G11" s="100"/>
      <c r="H11" s="100"/>
      <c r="I11" s="6"/>
      <c r="J11" s="499"/>
      <c r="K11" s="497"/>
      <c r="L11" s="502"/>
      <c r="M11" s="499"/>
      <c r="N11" s="501"/>
      <c r="O11" s="495"/>
      <c r="P11" s="495"/>
    </row>
    <row r="12" spans="1:16">
      <c r="A12" s="77" t="s">
        <v>607</v>
      </c>
      <c r="B12" s="719">
        <f>ROUND(B9*B11,2)</f>
        <v>1262414909.29</v>
      </c>
      <c r="C12" s="80"/>
      <c r="D12" s="719">
        <f>ROUND(D9*D11,2)</f>
        <v>1194202650.47</v>
      </c>
      <c r="E12" s="719"/>
      <c r="F12" s="719"/>
      <c r="G12" s="100"/>
      <c r="H12" s="100"/>
      <c r="I12" s="6"/>
      <c r="J12" s="503"/>
      <c r="K12" s="504"/>
      <c r="L12" s="504"/>
      <c r="M12" s="505"/>
      <c r="N12" s="503"/>
      <c r="O12" s="495"/>
      <c r="P12" s="495"/>
    </row>
    <row r="13" spans="1:16">
      <c r="A13" s="73"/>
      <c r="B13" s="719"/>
      <c r="C13" s="719"/>
      <c r="D13" s="719"/>
      <c r="E13" s="719"/>
      <c r="F13" s="719"/>
      <c r="G13" s="100"/>
      <c r="H13" s="100"/>
      <c r="I13" s="6"/>
      <c r="J13" s="503"/>
      <c r="K13" s="503"/>
      <c r="L13" s="503"/>
      <c r="M13" s="503"/>
      <c r="N13" s="503"/>
      <c r="O13" s="495"/>
      <c r="P13" s="495"/>
    </row>
    <row r="14" spans="1:16">
      <c r="A14" s="7" t="s">
        <v>90</v>
      </c>
      <c r="B14" s="720">
        <v>3.8240000000000003E-4</v>
      </c>
      <c r="C14" s="80"/>
      <c r="D14" s="720">
        <v>3.5E-4</v>
      </c>
      <c r="E14" s="719"/>
      <c r="F14" s="719"/>
      <c r="G14" s="100"/>
      <c r="H14" s="100"/>
      <c r="I14" s="6"/>
      <c r="J14" s="506"/>
      <c r="K14" s="507"/>
      <c r="L14" s="507"/>
      <c r="M14" s="499"/>
      <c r="N14" s="499"/>
      <c r="O14" s="495"/>
      <c r="P14" s="495"/>
    </row>
    <row r="15" spans="1:16">
      <c r="A15" s="73"/>
      <c r="B15" s="488"/>
      <c r="C15" s="80"/>
      <c r="D15" s="488"/>
      <c r="E15" s="719"/>
      <c r="F15" s="719"/>
      <c r="G15" s="100"/>
      <c r="H15" s="100"/>
      <c r="I15" s="6"/>
      <c r="J15" s="503"/>
      <c r="K15" s="503"/>
      <c r="L15" s="503"/>
      <c r="M15" s="503"/>
      <c r="N15" s="503"/>
      <c r="O15" s="495"/>
      <c r="P15" s="495"/>
    </row>
    <row r="16" spans="1:16" ht="15.75" thickBot="1">
      <c r="A16" s="78" t="s">
        <v>91</v>
      </c>
      <c r="B16" s="721">
        <f>ROUND(B12*B14,2)</f>
        <v>482747.46</v>
      </c>
      <c r="C16" s="74"/>
      <c r="D16" s="721">
        <f>ROUND(D12*D14,2)</f>
        <v>417970.93</v>
      </c>
      <c r="E16" s="80" t="s">
        <v>92</v>
      </c>
      <c r="F16" s="722">
        <f>SUM(B16:D16)</f>
        <v>900718.39</v>
      </c>
      <c r="G16" s="100"/>
      <c r="H16" s="100"/>
      <c r="I16" s="6"/>
      <c r="J16" s="500"/>
      <c r="K16" s="508"/>
      <c r="L16" s="508"/>
      <c r="M16" s="493"/>
      <c r="N16" s="493"/>
      <c r="O16" s="495"/>
      <c r="P16" s="495"/>
    </row>
    <row r="17" spans="1:16" ht="15.75" thickTop="1">
      <c r="A17" s="78"/>
      <c r="B17" s="723"/>
      <c r="C17" s="717"/>
      <c r="D17" s="723"/>
      <c r="E17" s="80"/>
      <c r="F17" s="489"/>
      <c r="G17" s="100"/>
      <c r="H17" s="100"/>
      <c r="I17" s="6"/>
      <c r="J17" s="510"/>
      <c r="K17" s="493"/>
      <c r="L17" s="493"/>
      <c r="M17" s="493"/>
      <c r="N17" s="493"/>
      <c r="O17" s="495"/>
      <c r="P17" s="495"/>
    </row>
    <row r="18" spans="1:16">
      <c r="A18" s="79" t="s">
        <v>93</v>
      </c>
      <c r="B18" s="724">
        <v>-130.16999999999999</v>
      </c>
      <c r="C18" s="80"/>
      <c r="D18" s="725">
        <v>-5509.23</v>
      </c>
      <c r="E18" s="80" t="s">
        <v>92</v>
      </c>
      <c r="F18" s="491">
        <f>SUM(B18:D18)</f>
        <v>-5639.4</v>
      </c>
      <c r="G18" s="100"/>
      <c r="H18" s="100"/>
      <c r="I18" s="6"/>
      <c r="J18" s="499"/>
      <c r="K18" s="493"/>
      <c r="L18" s="493"/>
      <c r="M18" s="493"/>
      <c r="N18" s="493"/>
      <c r="O18" s="495"/>
      <c r="P18" s="495"/>
    </row>
    <row r="19" spans="1:16">
      <c r="A19" s="73"/>
      <c r="B19" s="723"/>
      <c r="C19" s="80"/>
      <c r="D19" s="490"/>
      <c r="E19" s="726"/>
      <c r="F19" s="490"/>
      <c r="G19" s="100"/>
      <c r="H19" s="100"/>
      <c r="I19" s="6"/>
      <c r="J19" s="500"/>
      <c r="K19" s="488"/>
      <c r="L19" s="488"/>
      <c r="M19" s="493"/>
      <c r="N19" s="493"/>
      <c r="O19" s="495"/>
      <c r="P19" s="495"/>
    </row>
    <row r="20" spans="1:16">
      <c r="A20" s="78" t="s">
        <v>94</v>
      </c>
      <c r="B20" s="721">
        <f>SUM(B16:B18)</f>
        <v>482617.29000000004</v>
      </c>
      <c r="C20" s="727"/>
      <c r="D20" s="721">
        <f>SUM(D16:D18)</f>
        <v>412461.7</v>
      </c>
      <c r="E20" s="80"/>
      <c r="F20" s="721">
        <f>SUM(F16:F18)</f>
        <v>895078.99</v>
      </c>
      <c r="G20" s="100"/>
      <c r="H20" s="100"/>
      <c r="I20" s="6"/>
      <c r="J20" s="499"/>
      <c r="K20" s="488"/>
      <c r="L20" s="488"/>
      <c r="M20" s="493"/>
      <c r="N20" s="493"/>
      <c r="O20" s="495"/>
      <c r="P20" s="495"/>
    </row>
    <row r="21" spans="1:16">
      <c r="A21" s="73"/>
      <c r="B21" s="723"/>
      <c r="C21" s="80"/>
      <c r="D21" s="723"/>
      <c r="E21" s="80"/>
      <c r="F21" s="723"/>
      <c r="G21" s="100"/>
      <c r="H21" s="100"/>
      <c r="I21" s="6"/>
      <c r="J21" s="511"/>
      <c r="K21" s="489"/>
      <c r="L21" s="489"/>
      <c r="M21" s="509"/>
      <c r="N21" s="489"/>
      <c r="O21" s="495"/>
      <c r="P21" s="495"/>
    </row>
    <row r="22" spans="1:16">
      <c r="A22" s="7" t="s">
        <v>95</v>
      </c>
      <c r="B22" s="39">
        <v>0.95599999999999996</v>
      </c>
      <c r="C22" s="728"/>
      <c r="D22" s="39">
        <f>+B22</f>
        <v>0.95599999999999996</v>
      </c>
      <c r="E22" s="80"/>
      <c r="F22" s="718"/>
      <c r="G22" s="100"/>
      <c r="H22" s="100"/>
      <c r="I22" s="6"/>
      <c r="J22" s="511"/>
      <c r="K22" s="508"/>
      <c r="L22" s="508"/>
      <c r="M22" s="509"/>
      <c r="N22" s="489"/>
      <c r="O22" s="495"/>
      <c r="P22" s="495"/>
    </row>
    <row r="23" spans="1:16" ht="15.75" thickBot="1">
      <c r="A23" s="332" t="s">
        <v>160</v>
      </c>
      <c r="B23" s="729">
        <f>ROUND(B20*B22,2)</f>
        <v>461382.13</v>
      </c>
      <c r="C23" s="730" t="s">
        <v>96</v>
      </c>
      <c r="D23" s="729">
        <f>ROUND(D20*D22,2)</f>
        <v>394313.39</v>
      </c>
      <c r="E23" s="730" t="s">
        <v>92</v>
      </c>
      <c r="F23" s="731">
        <f>B23+D23</f>
        <v>855695.52</v>
      </c>
      <c r="G23" s="100"/>
      <c r="H23" s="100"/>
      <c r="I23" s="6"/>
      <c r="J23" s="490"/>
      <c r="K23" s="512"/>
      <c r="L23" s="513"/>
      <c r="M23" s="509"/>
      <c r="N23" s="491"/>
      <c r="O23" s="495"/>
      <c r="P23" s="495"/>
    </row>
    <row r="24" spans="1:16" ht="22.5" customHeight="1" thickTop="1">
      <c r="A24" s="73"/>
      <c r="B24" s="732">
        <f>B23/F23</f>
        <v>0.53918960566721208</v>
      </c>
      <c r="C24" s="719"/>
      <c r="D24" s="732">
        <f>D23/F23</f>
        <v>0.46081039433278792</v>
      </c>
      <c r="E24" s="719"/>
      <c r="F24" s="719"/>
      <c r="G24" s="100"/>
      <c r="H24" s="100"/>
      <c r="I24" s="6"/>
      <c r="J24" s="499"/>
      <c r="K24" s="508"/>
      <c r="L24" s="490"/>
      <c r="M24" s="514"/>
      <c r="N24" s="490"/>
      <c r="O24" s="495"/>
      <c r="P24" s="495"/>
    </row>
    <row r="25" spans="1:16" ht="15.75" thickBot="1">
      <c r="A25" s="71"/>
      <c r="B25" s="81"/>
      <c r="C25" s="719"/>
      <c r="D25" s="719"/>
      <c r="E25" s="719"/>
      <c r="F25" s="719"/>
      <c r="G25" s="100"/>
      <c r="H25" s="100"/>
      <c r="I25" s="6"/>
      <c r="J25" s="511"/>
      <c r="K25" s="489"/>
      <c r="L25" s="489"/>
      <c r="M25" s="509"/>
      <c r="N25" s="489"/>
      <c r="O25" s="495"/>
      <c r="P25" s="495"/>
    </row>
    <row r="26" spans="1:16" ht="16.5" thickTop="1" thickBot="1">
      <c r="A26" s="71"/>
      <c r="B26" s="81"/>
      <c r="C26" s="719"/>
      <c r="D26" s="734" t="s">
        <v>186</v>
      </c>
      <c r="E26" s="735"/>
      <c r="F26" s="736">
        <v>860000</v>
      </c>
      <c r="G26" s="737"/>
      <c r="H26" s="738"/>
      <c r="I26" s="6"/>
      <c r="J26" s="499"/>
      <c r="K26" s="508"/>
      <c r="L26" s="508"/>
      <c r="M26" s="509"/>
      <c r="N26" s="508"/>
      <c r="O26" s="495"/>
      <c r="P26" s="495"/>
    </row>
    <row r="27" spans="1:16" ht="15.75" thickTop="1">
      <c r="A27" s="535" t="s">
        <v>755</v>
      </c>
      <c r="B27" s="733"/>
      <c r="C27" s="81"/>
      <c r="D27" s="81"/>
      <c r="E27" s="719"/>
      <c r="F27" s="492"/>
      <c r="G27" s="493"/>
      <c r="H27" s="494"/>
      <c r="I27" s="6"/>
      <c r="J27" s="500"/>
      <c r="K27" s="515"/>
      <c r="L27" s="515"/>
      <c r="M27" s="509"/>
      <c r="N27" s="508"/>
      <c r="O27" s="495"/>
      <c r="P27" s="495"/>
    </row>
    <row r="28" spans="1:16">
      <c r="A28" s="534">
        <v>0.95</v>
      </c>
      <c r="B28" s="12">
        <f t="shared" ref="B28:B33" si="0">+F$20*A28</f>
        <v>850325.0405</v>
      </c>
      <c r="D28" s="71"/>
      <c r="G28" s="64"/>
      <c r="H28" s="64"/>
      <c r="I28" s="6"/>
      <c r="J28" s="499"/>
      <c r="K28" s="516"/>
      <c r="L28" s="516"/>
      <c r="M28" s="493"/>
      <c r="N28" s="493"/>
      <c r="O28" s="495"/>
      <c r="P28" s="495"/>
    </row>
    <row r="29" spans="1:16">
      <c r="A29" s="534">
        <v>0.94</v>
      </c>
      <c r="B29" s="12">
        <f t="shared" si="0"/>
        <v>841374.25059999991</v>
      </c>
      <c r="D29" s="15"/>
      <c r="G29" s="64"/>
      <c r="H29" s="64"/>
      <c r="I29" s="6"/>
      <c r="J29" s="503"/>
      <c r="K29" s="503"/>
      <c r="L29" s="493"/>
      <c r="M29" s="493"/>
      <c r="N29" s="493"/>
      <c r="O29" s="495"/>
      <c r="P29" s="495"/>
    </row>
    <row r="30" spans="1:16">
      <c r="A30" s="534">
        <v>0.93</v>
      </c>
      <c r="B30" s="12">
        <f t="shared" si="0"/>
        <v>832423.46070000005</v>
      </c>
      <c r="D30" s="15"/>
      <c r="G30" s="64"/>
      <c r="H30" s="64"/>
      <c r="I30" s="6"/>
      <c r="J30" s="503"/>
      <c r="K30" s="503"/>
      <c r="L30" s="517"/>
      <c r="M30" s="518"/>
      <c r="N30" s="411"/>
      <c r="O30" s="495"/>
      <c r="P30" s="411"/>
    </row>
    <row r="31" spans="1:16">
      <c r="A31" s="534">
        <v>0.92</v>
      </c>
      <c r="B31" s="12">
        <f t="shared" si="0"/>
        <v>823472.67080000008</v>
      </c>
      <c r="D31" s="15"/>
      <c r="G31" s="64"/>
      <c r="H31" s="64"/>
      <c r="I31" s="6"/>
      <c r="J31" s="519"/>
      <c r="K31" s="520"/>
      <c r="L31" s="503"/>
      <c r="M31" s="493"/>
      <c r="N31" s="492"/>
      <c r="O31" s="493"/>
      <c r="P31" s="494"/>
    </row>
    <row r="32" spans="1:16">
      <c r="A32" s="534">
        <v>0.91</v>
      </c>
      <c r="B32" s="12">
        <f t="shared" si="0"/>
        <v>814521.88089999999</v>
      </c>
      <c r="D32" s="15"/>
      <c r="G32" s="64"/>
      <c r="H32" s="64"/>
      <c r="I32" s="6"/>
      <c r="J32" s="501"/>
      <c r="K32" s="509"/>
      <c r="L32" s="493"/>
      <c r="M32" s="495"/>
      <c r="N32" s="521"/>
      <c r="O32" s="436"/>
      <c r="P32" s="436"/>
    </row>
    <row r="33" spans="1:16">
      <c r="A33" s="534">
        <v>0.9</v>
      </c>
      <c r="B33" s="12">
        <f t="shared" si="0"/>
        <v>805571.09100000001</v>
      </c>
      <c r="D33" s="15"/>
      <c r="G33" s="64"/>
      <c r="H33" s="64"/>
      <c r="I33" s="6"/>
      <c r="J33" s="522"/>
      <c r="K33" s="501"/>
      <c r="L33" s="509"/>
      <c r="M33" s="495"/>
      <c r="N33" s="503"/>
      <c r="O33" s="436"/>
      <c r="P33" s="436"/>
    </row>
    <row r="34" spans="1:16" ht="15.75">
      <c r="A34" s="11"/>
      <c r="B34" s="16"/>
      <c r="C34" s="12"/>
      <c r="D34" s="15"/>
      <c r="E34" s="14"/>
      <c r="F34" s="13"/>
      <c r="G34" s="13"/>
      <c r="H34" s="13"/>
      <c r="I34" s="6"/>
      <c r="J34" s="522"/>
      <c r="K34" s="501"/>
      <c r="L34" s="509"/>
      <c r="M34" s="495"/>
      <c r="N34" s="523"/>
      <c r="O34" s="436"/>
      <c r="P34" s="436"/>
    </row>
    <row r="35" spans="1:16" ht="15.75">
      <c r="A35" s="1075" t="s">
        <v>188</v>
      </c>
      <c r="B35" s="1076"/>
      <c r="C35" s="1076"/>
      <c r="D35" s="1076"/>
      <c r="E35" s="1076"/>
      <c r="F35" s="1076"/>
      <c r="G35" s="1076"/>
      <c r="H35" s="1076"/>
      <c r="I35" s="71"/>
      <c r="J35" s="71"/>
      <c r="K35" s="64"/>
    </row>
    <row r="36" spans="1:16">
      <c r="A36" s="98"/>
      <c r="B36" s="99"/>
      <c r="C36" s="99"/>
      <c r="D36" s="99"/>
      <c r="E36" s="99"/>
      <c r="F36" s="99"/>
      <c r="G36" s="99"/>
      <c r="H36" s="99"/>
      <c r="I36" s="71"/>
      <c r="J36" s="71"/>
      <c r="K36" s="64"/>
    </row>
    <row r="37" spans="1:16">
      <c r="A37" s="64" t="s">
        <v>189</v>
      </c>
      <c r="B37" s="64"/>
      <c r="C37" s="64"/>
      <c r="D37" s="64"/>
      <c r="E37" s="64"/>
      <c r="F37" s="64"/>
      <c r="G37" s="64"/>
      <c r="H37" s="64"/>
      <c r="I37" s="71"/>
      <c r="J37" s="71"/>
      <c r="K37" s="64"/>
    </row>
    <row r="38" spans="1:16">
      <c r="A38" s="64" t="s">
        <v>190</v>
      </c>
      <c r="B38" s="64"/>
      <c r="C38" s="64"/>
      <c r="D38" s="64"/>
      <c r="E38" s="64"/>
      <c r="F38" s="64"/>
      <c r="G38" s="64"/>
      <c r="H38" s="64"/>
      <c r="I38" s="71"/>
      <c r="J38" s="71"/>
      <c r="K38" s="64"/>
    </row>
    <row r="39" spans="1:16">
      <c r="A39" s="64" t="s">
        <v>191</v>
      </c>
      <c r="B39" s="64"/>
      <c r="C39" s="64"/>
      <c r="D39" s="64"/>
      <c r="E39" s="64"/>
      <c r="F39" s="64"/>
      <c r="G39" s="64"/>
      <c r="H39" s="64"/>
      <c r="I39" s="71"/>
      <c r="J39" s="71"/>
      <c r="K39" s="64"/>
    </row>
    <row r="40" spans="1:16">
      <c r="A40" s="64" t="s">
        <v>192</v>
      </c>
      <c r="B40" s="64"/>
      <c r="C40" s="64"/>
      <c r="D40" s="64"/>
      <c r="E40" s="64"/>
      <c r="F40" s="64"/>
      <c r="G40" s="64"/>
      <c r="H40" s="64"/>
      <c r="I40" s="71"/>
      <c r="J40" s="71"/>
      <c r="K40" s="64"/>
    </row>
    <row r="41" spans="1:16">
      <c r="A41" s="64" t="s">
        <v>193</v>
      </c>
      <c r="B41" s="64"/>
      <c r="C41" s="64"/>
      <c r="D41" s="64"/>
      <c r="E41" s="64"/>
      <c r="F41" s="64"/>
      <c r="G41" s="64"/>
      <c r="H41" s="64"/>
      <c r="I41" s="71"/>
      <c r="J41" s="71"/>
      <c r="K41" s="64"/>
    </row>
    <row r="42" spans="1:16">
      <c r="A42" s="64" t="s">
        <v>194</v>
      </c>
      <c r="B42" s="64"/>
      <c r="C42" s="64"/>
      <c r="D42" s="64"/>
      <c r="E42" s="64"/>
      <c r="F42" s="64"/>
      <c r="G42" s="64"/>
      <c r="H42" s="64"/>
      <c r="I42" s="71"/>
      <c r="J42" s="71"/>
      <c r="K42" s="64"/>
    </row>
    <row r="43" spans="1:16">
      <c r="A43" s="64" t="s">
        <v>195</v>
      </c>
      <c r="B43" s="64"/>
      <c r="C43" s="64"/>
      <c r="D43" s="64"/>
      <c r="E43" s="64"/>
      <c r="F43" s="64"/>
      <c r="G43" s="64"/>
      <c r="H43" s="64"/>
      <c r="I43" s="71"/>
      <c r="J43" s="71"/>
      <c r="K43" s="64"/>
    </row>
    <row r="44" spans="1:16">
      <c r="A44" s="64"/>
      <c r="B44" s="64"/>
      <c r="C44" s="64"/>
      <c r="D44" s="64"/>
      <c r="E44" s="64"/>
      <c r="F44" s="64"/>
      <c r="G44" s="64"/>
      <c r="H44" s="64"/>
      <c r="I44" s="71"/>
      <c r="J44" s="71"/>
      <c r="K44" s="64"/>
    </row>
    <row r="45" spans="1:16">
      <c r="A45" s="64" t="s">
        <v>196</v>
      </c>
      <c r="B45" s="64"/>
      <c r="C45" s="64"/>
      <c r="D45" s="64"/>
      <c r="E45" s="64"/>
      <c r="F45" s="64"/>
      <c r="G45" s="64"/>
      <c r="H45" s="64"/>
      <c r="I45" s="71"/>
      <c r="J45" s="71"/>
      <c r="K45" s="64"/>
    </row>
    <row r="46" spans="1:16">
      <c r="A46" s="64" t="s">
        <v>197</v>
      </c>
      <c r="B46" s="64"/>
      <c r="C46" s="64"/>
      <c r="D46" s="64"/>
      <c r="E46" s="64"/>
      <c r="F46" s="64"/>
      <c r="G46" s="64"/>
      <c r="H46" s="64"/>
      <c r="I46" s="71"/>
      <c r="J46" s="64"/>
      <c r="K46" s="64"/>
    </row>
    <row r="47" spans="1:16">
      <c r="A47" s="64" t="s">
        <v>198</v>
      </c>
      <c r="B47" s="64"/>
      <c r="C47" s="64"/>
      <c r="D47" s="64"/>
      <c r="E47" s="64"/>
      <c r="F47" s="64"/>
      <c r="G47" s="64"/>
      <c r="H47" s="64"/>
      <c r="I47" s="71"/>
      <c r="J47" s="71"/>
      <c r="K47" s="64"/>
    </row>
    <row r="48" spans="1:16">
      <c r="A48" s="64" t="s">
        <v>199</v>
      </c>
      <c r="B48" s="64"/>
      <c r="C48" s="64"/>
      <c r="D48" s="64"/>
      <c r="E48" s="64"/>
      <c r="F48" s="64"/>
      <c r="G48" s="64"/>
      <c r="H48" s="64"/>
      <c r="I48" s="71"/>
      <c r="J48" s="71"/>
      <c r="K48" s="64"/>
    </row>
    <row r="49" spans="1:11">
      <c r="A49" s="64" t="s">
        <v>200</v>
      </c>
      <c r="B49" s="64"/>
      <c r="C49" s="64"/>
      <c r="D49" s="64"/>
      <c r="E49" s="64"/>
      <c r="F49" s="64"/>
      <c r="G49" s="64"/>
      <c r="H49" s="64"/>
      <c r="I49" s="71"/>
      <c r="J49" s="71"/>
      <c r="K49" s="64"/>
    </row>
    <row r="50" spans="1:11">
      <c r="A50" s="1077" t="s">
        <v>201</v>
      </c>
      <c r="B50" s="1077"/>
      <c r="C50" s="1077"/>
      <c r="D50" s="1077"/>
      <c r="E50" s="1077"/>
      <c r="F50" s="1077"/>
      <c r="G50" s="1077"/>
      <c r="H50" s="1077"/>
      <c r="I50" s="71"/>
      <c r="J50" s="71"/>
      <c r="K50" s="64"/>
    </row>
    <row r="51" spans="1:11">
      <c r="A51" s="64"/>
      <c r="B51" s="64"/>
      <c r="C51" s="64"/>
      <c r="D51" s="64"/>
      <c r="E51" s="64"/>
      <c r="F51" s="64"/>
      <c r="G51" s="64"/>
      <c r="H51" s="64"/>
      <c r="I51" s="71"/>
      <c r="J51" s="71"/>
      <c r="K51" s="64"/>
    </row>
    <row r="52" spans="1:11">
      <c r="A52" s="64" t="s">
        <v>202</v>
      </c>
      <c r="B52" s="64"/>
      <c r="C52" s="64"/>
      <c r="D52" s="64"/>
      <c r="E52" s="64"/>
      <c r="F52" s="64"/>
      <c r="G52" s="64"/>
      <c r="H52" s="64"/>
      <c r="I52" s="71"/>
      <c r="J52" s="71"/>
      <c r="K52" s="64"/>
    </row>
    <row r="53" spans="1:11">
      <c r="A53" s="64" t="s">
        <v>203</v>
      </c>
      <c r="B53" s="64"/>
      <c r="C53" s="64"/>
      <c r="D53" s="64"/>
      <c r="E53" s="64"/>
      <c r="F53" s="64"/>
      <c r="G53" s="64"/>
      <c r="H53" s="64"/>
      <c r="I53" s="71"/>
      <c r="J53" s="71"/>
      <c r="K53" s="64"/>
    </row>
    <row r="54" spans="1:11">
      <c r="A54" s="64" t="s">
        <v>204</v>
      </c>
      <c r="B54" s="64"/>
      <c r="C54" s="64"/>
      <c r="D54" s="64"/>
      <c r="E54" s="64"/>
      <c r="F54" s="64"/>
      <c r="G54" s="64"/>
      <c r="H54" s="64"/>
      <c r="I54" s="71"/>
      <c r="J54" s="71"/>
      <c r="K54" s="64"/>
    </row>
    <row r="55" spans="1:11">
      <c r="A55" s="64" t="s">
        <v>205</v>
      </c>
      <c r="B55" s="64"/>
      <c r="C55" s="64"/>
      <c r="D55" s="64"/>
      <c r="E55" s="64"/>
      <c r="F55" s="64"/>
      <c r="G55" s="64"/>
      <c r="H55" s="64"/>
      <c r="I55" s="71"/>
      <c r="J55" s="71"/>
      <c r="K55" s="64"/>
    </row>
    <row r="56" spans="1:11">
      <c r="A56" s="64" t="s">
        <v>206</v>
      </c>
      <c r="B56" s="64"/>
      <c r="C56" s="64"/>
      <c r="D56" s="64"/>
      <c r="E56" s="64"/>
      <c r="F56" s="64"/>
      <c r="G56" s="64"/>
      <c r="H56" s="64"/>
      <c r="I56" s="71"/>
      <c r="J56" s="71"/>
      <c r="K56" s="64"/>
    </row>
    <row r="57" spans="1:11">
      <c r="A57" s="64"/>
      <c r="B57" s="64"/>
      <c r="C57" s="64"/>
      <c r="D57" s="64"/>
      <c r="E57" s="64"/>
      <c r="F57" s="64"/>
      <c r="G57" s="64"/>
      <c r="H57" s="64"/>
      <c r="I57" s="71"/>
      <c r="J57" s="71"/>
      <c r="K57" s="64"/>
    </row>
    <row r="58" spans="1:11">
      <c r="A58" s="64" t="s">
        <v>207</v>
      </c>
      <c r="B58" s="64"/>
      <c r="C58" s="64"/>
      <c r="D58" s="64"/>
      <c r="E58" s="64"/>
      <c r="F58" s="64"/>
      <c r="G58" s="64"/>
      <c r="H58" s="64"/>
      <c r="I58" s="71"/>
      <c r="J58" s="71"/>
      <c r="K58" s="64"/>
    </row>
    <row r="59" spans="1:11">
      <c r="A59" s="64" t="s">
        <v>208</v>
      </c>
      <c r="B59" s="64"/>
      <c r="C59" s="64"/>
      <c r="D59" s="64"/>
      <c r="E59" s="64"/>
      <c r="F59" s="64"/>
      <c r="G59" s="64"/>
      <c r="H59" s="64"/>
      <c r="I59" s="71"/>
      <c r="J59" s="71"/>
      <c r="K59" s="64"/>
    </row>
    <row r="60" spans="1:11">
      <c r="A60" s="64" t="s">
        <v>209</v>
      </c>
      <c r="B60" s="64"/>
      <c r="C60" s="64"/>
      <c r="D60" s="64"/>
      <c r="E60" s="64"/>
      <c r="F60" s="64"/>
      <c r="G60" s="64"/>
      <c r="H60" s="64"/>
      <c r="I60" s="81"/>
      <c r="J60" s="81"/>
      <c r="K60" s="64"/>
    </row>
    <row r="61" spans="1:11">
      <c r="A61" s="64" t="s">
        <v>210</v>
      </c>
      <c r="B61" s="64"/>
      <c r="C61" s="64"/>
      <c r="D61" s="64"/>
      <c r="E61" s="64"/>
      <c r="F61" s="64"/>
      <c r="G61" s="64"/>
      <c r="H61" s="64"/>
    </row>
    <row r="62" spans="1:11">
      <c r="A62" s="64" t="s">
        <v>211</v>
      </c>
      <c r="B62" s="64"/>
      <c r="C62" s="64"/>
      <c r="D62" s="64"/>
      <c r="E62" s="64"/>
      <c r="F62" s="64"/>
      <c r="G62" s="64"/>
      <c r="H62" s="64"/>
    </row>
    <row r="63" spans="1:11" ht="15.75" thickBot="1">
      <c r="A63" s="64"/>
      <c r="B63" s="64"/>
      <c r="C63" s="64"/>
      <c r="D63" s="64"/>
      <c r="E63" s="64"/>
      <c r="F63" s="64"/>
      <c r="G63" s="64"/>
      <c r="H63" s="64"/>
    </row>
    <row r="64" spans="1:11">
      <c r="A64" s="82"/>
      <c r="B64" s="83"/>
      <c r="C64" s="83"/>
      <c r="D64" s="83"/>
      <c r="E64" s="84"/>
      <c r="H64" s="71"/>
      <c r="J64" s="71"/>
    </row>
    <row r="65" spans="1:10">
      <c r="A65" s="85" t="s">
        <v>97</v>
      </c>
      <c r="B65" s="86"/>
      <c r="C65" s="87"/>
      <c r="D65" s="87"/>
      <c r="E65" s="88"/>
      <c r="H65" s="71"/>
      <c r="J65" s="71"/>
    </row>
    <row r="66" spans="1:10">
      <c r="A66" s="329" t="s">
        <v>98</v>
      </c>
      <c r="B66" s="69"/>
      <c r="C66" s="79" t="s">
        <v>93</v>
      </c>
      <c r="D66" s="79">
        <f>-B18</f>
        <v>130.16999999999999</v>
      </c>
      <c r="E66" s="88"/>
      <c r="H66" s="71"/>
      <c r="J66" s="71"/>
    </row>
    <row r="67" spans="1:10">
      <c r="A67" s="329" t="s">
        <v>99</v>
      </c>
      <c r="B67" s="69"/>
      <c r="C67" s="79" t="s">
        <v>93</v>
      </c>
      <c r="D67" s="79">
        <f>-D18</f>
        <v>5509.23</v>
      </c>
      <c r="E67" s="89"/>
      <c r="H67" s="71"/>
      <c r="J67" s="71"/>
    </row>
    <row r="68" spans="1:10" ht="15.75" thickBot="1">
      <c r="A68" s="90"/>
      <c r="B68" s="69"/>
      <c r="C68" s="86"/>
      <c r="D68" s="91">
        <f>SUM(D66:D67)</f>
        <v>5639.4</v>
      </c>
      <c r="E68" s="92"/>
      <c r="H68" s="71"/>
      <c r="J68" s="71"/>
    </row>
    <row r="69" spans="1:10" ht="15.75" thickTop="1">
      <c r="A69" s="90"/>
      <c r="B69" s="69"/>
      <c r="C69" s="86"/>
      <c r="D69" s="93"/>
      <c r="E69" s="92"/>
      <c r="H69" s="71"/>
      <c r="I69" s="71"/>
      <c r="J69" s="71"/>
    </row>
    <row r="70" spans="1:10" ht="15.75" thickBot="1">
      <c r="A70" s="94"/>
      <c r="B70" s="330"/>
      <c r="C70" s="95" t="s">
        <v>187</v>
      </c>
      <c r="D70" s="96">
        <f>+F20-F23</f>
        <v>39383.469999999972</v>
      </c>
      <c r="E70" s="97"/>
      <c r="H70" s="71"/>
      <c r="I70" s="71"/>
      <c r="J70" s="71"/>
    </row>
    <row r="71" spans="1:10">
      <c r="I71" s="71"/>
      <c r="J71" s="71"/>
    </row>
  </sheetData>
  <mergeCells count="2">
    <mergeCell ref="A35:H35"/>
    <mergeCell ref="A50:H50"/>
  </mergeCells>
  <pageMargins left="1.2" right="0.2" top="1" bottom="0.75" header="0.3" footer="0.3"/>
  <pageSetup scale="3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I142"/>
  <sheetViews>
    <sheetView workbookViewId="0"/>
  </sheetViews>
  <sheetFormatPr defaultRowHeight="15"/>
  <cols>
    <col min="1" max="1" width="4.109375" customWidth="1"/>
    <col min="2" max="2" width="26.77734375" customWidth="1"/>
    <col min="3" max="3" width="32.33203125" customWidth="1"/>
    <col min="4" max="4" width="13.6640625" bestFit="1" customWidth="1"/>
    <col min="5" max="5" width="13.88671875" style="208" bestFit="1" customWidth="1"/>
    <col min="6" max="6" width="12.109375" hidden="1" customWidth="1"/>
    <col min="7" max="7" width="12.5546875" customWidth="1"/>
    <col min="8" max="8" width="13.33203125" customWidth="1"/>
  </cols>
  <sheetData>
    <row r="1" spans="1:9" ht="20.25">
      <c r="A1" s="118" t="s">
        <v>243</v>
      </c>
      <c r="B1" s="119"/>
      <c r="C1" s="118"/>
      <c r="D1" s="487"/>
      <c r="E1" s="120"/>
      <c r="F1" s="119"/>
      <c r="G1" s="119"/>
      <c r="H1" s="616"/>
      <c r="I1" s="615"/>
    </row>
    <row r="2" spans="1:9" ht="20.25">
      <c r="A2" s="121" t="s">
        <v>906</v>
      </c>
      <c r="B2" s="930"/>
      <c r="E2" s="122"/>
      <c r="F2" s="119"/>
      <c r="G2" s="119"/>
      <c r="H2" s="616"/>
      <c r="I2" s="615"/>
    </row>
    <row r="3" spans="1:9">
      <c r="A3" s="123" t="s">
        <v>244</v>
      </c>
      <c r="B3" s="124"/>
      <c r="C3" s="125"/>
      <c r="D3" s="119"/>
      <c r="E3" s="122"/>
      <c r="F3" s="119"/>
      <c r="G3" s="119"/>
      <c r="H3" s="119"/>
    </row>
    <row r="4" spans="1:9" ht="21" thickBot="1">
      <c r="A4" s="126" t="s">
        <v>245</v>
      </c>
      <c r="B4" s="127"/>
      <c r="C4" s="127"/>
      <c r="D4" s="119"/>
      <c r="E4" s="122"/>
      <c r="F4" s="119"/>
      <c r="G4" s="119"/>
      <c r="H4" s="119"/>
    </row>
    <row r="5" spans="1:9" ht="15.75" thickBot="1">
      <c r="A5" s="119"/>
      <c r="B5" s="119"/>
      <c r="C5" s="119"/>
      <c r="D5" s="119"/>
      <c r="E5" s="122"/>
      <c r="F5" s="119"/>
      <c r="G5" s="551" t="s">
        <v>246</v>
      </c>
      <c r="H5" s="129" t="s">
        <v>247</v>
      </c>
    </row>
    <row r="6" spans="1:9" ht="15.75" thickTop="1">
      <c r="A6" s="119">
        <v>1</v>
      </c>
      <c r="B6" s="130" t="s">
        <v>248</v>
      </c>
      <c r="C6" s="131">
        <v>200009180</v>
      </c>
      <c r="D6" s="132"/>
      <c r="E6" s="133"/>
      <c r="F6" s="119"/>
      <c r="G6" s="134"/>
      <c r="H6" s="135" t="s">
        <v>249</v>
      </c>
    </row>
    <row r="7" spans="1:9">
      <c r="A7" s="119">
        <v>2</v>
      </c>
      <c r="B7" s="130" t="s">
        <v>250</v>
      </c>
      <c r="C7" s="136" t="s">
        <v>315</v>
      </c>
      <c r="D7" s="137"/>
      <c r="E7" s="138"/>
      <c r="F7" s="119"/>
      <c r="G7" s="134"/>
      <c r="H7" s="134"/>
    </row>
    <row r="8" spans="1:9" ht="15.75" thickBot="1">
      <c r="A8" s="119">
        <v>3</v>
      </c>
      <c r="B8" s="130" t="s">
        <v>251</v>
      </c>
      <c r="C8" s="139" t="s">
        <v>316</v>
      </c>
      <c r="D8" s="140"/>
      <c r="E8" s="141"/>
      <c r="F8" s="134"/>
      <c r="G8" s="134"/>
      <c r="H8" s="134"/>
    </row>
    <row r="9" spans="1:9" ht="15.75" thickTop="1">
      <c r="A9" s="119"/>
      <c r="B9" s="119"/>
      <c r="C9" s="119"/>
      <c r="D9" s="119"/>
      <c r="E9" s="122"/>
      <c r="F9" s="119"/>
      <c r="G9" s="119"/>
      <c r="H9" s="119"/>
    </row>
    <row r="10" spans="1:9">
      <c r="A10" s="119"/>
      <c r="B10" s="128"/>
      <c r="C10" s="128"/>
      <c r="D10" s="217" t="s">
        <v>253</v>
      </c>
      <c r="E10" s="218" t="s">
        <v>254</v>
      </c>
      <c r="F10" s="216" t="s">
        <v>255</v>
      </c>
      <c r="G10" s="216" t="s">
        <v>256</v>
      </c>
      <c r="H10" s="134"/>
    </row>
    <row r="11" spans="1:9">
      <c r="A11" s="119">
        <v>4</v>
      </c>
      <c r="B11" s="130" t="s">
        <v>257</v>
      </c>
      <c r="C11" s="130"/>
      <c r="D11" s="220"/>
      <c r="E11" s="221" t="s">
        <v>316</v>
      </c>
      <c r="F11" s="222"/>
      <c r="G11" s="223" t="s">
        <v>316</v>
      </c>
      <c r="H11" s="220"/>
    </row>
    <row r="12" spans="1:9" s="2" customFormat="1" ht="12.75">
      <c r="A12" s="125"/>
      <c r="B12" s="125"/>
      <c r="C12" s="125"/>
      <c r="D12" s="213" t="s">
        <v>258</v>
      </c>
      <c r="E12" s="214" t="s">
        <v>258</v>
      </c>
      <c r="F12" s="215" t="s">
        <v>258</v>
      </c>
      <c r="G12" s="215" t="s">
        <v>259</v>
      </c>
      <c r="H12" s="215" t="s">
        <v>260</v>
      </c>
    </row>
    <row r="13" spans="1:9" ht="16.5" thickBot="1">
      <c r="A13" s="119"/>
      <c r="B13" s="146" t="s">
        <v>261</v>
      </c>
      <c r="C13" s="146"/>
      <c r="D13" s="147"/>
      <c r="E13" s="148"/>
      <c r="F13" s="147"/>
      <c r="G13" s="285"/>
      <c r="H13" s="147"/>
    </row>
    <row r="14" spans="1:9" ht="16.5" thickTop="1">
      <c r="A14" s="128">
        <f>1+A11</f>
        <v>5</v>
      </c>
      <c r="B14" s="130" t="s">
        <v>262</v>
      </c>
      <c r="C14" s="146"/>
      <c r="D14" s="149">
        <v>0</v>
      </c>
      <c r="E14" s="224"/>
      <c r="F14" s="150"/>
      <c r="G14" s="536"/>
      <c r="H14" s="151">
        <f>+D14</f>
        <v>0</v>
      </c>
    </row>
    <row r="15" spans="1:9">
      <c r="A15" s="119">
        <f>+A14+1</f>
        <v>6</v>
      </c>
      <c r="B15" s="128" t="s">
        <v>263</v>
      </c>
      <c r="C15" s="128"/>
      <c r="D15" s="225"/>
      <c r="E15" s="226">
        <v>0</v>
      </c>
      <c r="F15" s="152"/>
      <c r="G15" s="537"/>
      <c r="H15" s="151">
        <f>+E15</f>
        <v>0</v>
      </c>
    </row>
    <row r="16" spans="1:9">
      <c r="A16" s="119">
        <f>+A15+1</f>
        <v>7</v>
      </c>
      <c r="B16" s="128" t="s">
        <v>264</v>
      </c>
      <c r="C16" s="128"/>
      <c r="D16" s="227"/>
      <c r="E16" s="228"/>
      <c r="F16" s="153">
        <v>0</v>
      </c>
      <c r="G16" s="538"/>
      <c r="H16" s="154">
        <f>+F16</f>
        <v>0</v>
      </c>
    </row>
    <row r="17" spans="1:8">
      <c r="A17" s="119">
        <f>+A16+1</f>
        <v>8</v>
      </c>
      <c r="B17" s="128" t="s">
        <v>265</v>
      </c>
      <c r="C17" s="128"/>
      <c r="D17" s="227"/>
      <c r="E17" s="229"/>
      <c r="F17" s="155">
        <v>0</v>
      </c>
      <c r="G17" s="539"/>
      <c r="H17" s="154">
        <f>+F17</f>
        <v>0</v>
      </c>
    </row>
    <row r="18" spans="1:8" ht="15.75" thickBot="1">
      <c r="A18" s="119">
        <f>+A17+1</f>
        <v>9</v>
      </c>
      <c r="B18" s="128" t="s">
        <v>266</v>
      </c>
      <c r="C18" s="128"/>
      <c r="D18" s="227"/>
      <c r="E18" s="230"/>
      <c r="F18" s="156"/>
      <c r="G18" s="540">
        <v>0</v>
      </c>
      <c r="H18" s="157">
        <f>+G18</f>
        <v>0</v>
      </c>
    </row>
    <row r="19" spans="1:8" ht="17.25" thickTop="1" thickBot="1">
      <c r="A19" s="119">
        <f>+A18+1</f>
        <v>10</v>
      </c>
      <c r="B19" s="158" t="s">
        <v>267</v>
      </c>
      <c r="C19" s="158"/>
      <c r="D19" s="159">
        <f>SUM(D14)</f>
        <v>0</v>
      </c>
      <c r="E19" s="231">
        <f>SUM(E15)</f>
        <v>0</v>
      </c>
      <c r="F19" s="160">
        <f>SUM(F16:F17)</f>
        <v>0</v>
      </c>
      <c r="G19" s="541">
        <f>SUM(G18)</f>
        <v>0</v>
      </c>
      <c r="H19" s="160">
        <f>SUM(D19:G19)</f>
        <v>0</v>
      </c>
    </row>
    <row r="20" spans="1:8" ht="15.75" thickTop="1">
      <c r="A20" s="119"/>
      <c r="B20" s="128"/>
      <c r="C20" s="128"/>
      <c r="D20" s="232"/>
      <c r="E20" s="233"/>
      <c r="F20" s="161"/>
      <c r="G20" s="232"/>
      <c r="H20" s="161"/>
    </row>
    <row r="21" spans="1:8" ht="16.5" thickBot="1">
      <c r="A21" s="119"/>
      <c r="B21" s="146" t="s">
        <v>268</v>
      </c>
      <c r="C21" s="146"/>
      <c r="D21" s="232"/>
      <c r="E21" s="233"/>
      <c r="F21" s="161"/>
      <c r="G21" s="232"/>
      <c r="H21" s="161"/>
    </row>
    <row r="22" spans="1:8" ht="15.75" thickTop="1">
      <c r="A22" s="119">
        <f>+A19+1</f>
        <v>11</v>
      </c>
      <c r="B22" s="128" t="s">
        <v>269</v>
      </c>
      <c r="C22" s="128"/>
      <c r="D22" s="162">
        <v>0</v>
      </c>
      <c r="E22" s="234">
        <v>0</v>
      </c>
      <c r="F22" s="163">
        <v>0</v>
      </c>
      <c r="G22" s="542">
        <v>0</v>
      </c>
      <c r="H22" s="164">
        <f>SUM(D22:G22)</f>
        <v>0</v>
      </c>
    </row>
    <row r="23" spans="1:8" ht="16.5" thickBot="1">
      <c r="A23" s="119">
        <f>+A22+1</f>
        <v>12</v>
      </c>
      <c r="B23" s="158" t="s">
        <v>270</v>
      </c>
      <c r="C23" s="158"/>
      <c r="D23" s="165">
        <f>SUM(D19)-SUM(D22)</f>
        <v>0</v>
      </c>
      <c r="E23" s="166">
        <f>SUM(E19)-SUM(E22)</f>
        <v>0</v>
      </c>
      <c r="F23" s="166">
        <f>SUM(F19)-SUM(F22)</f>
        <v>0</v>
      </c>
      <c r="G23" s="166">
        <f>SUM(G19)-SUM(G22)</f>
        <v>0</v>
      </c>
      <c r="H23" s="167">
        <f>+H19-H22</f>
        <v>0</v>
      </c>
    </row>
    <row r="24" spans="1:8" ht="15.75" thickTop="1">
      <c r="A24" s="119"/>
      <c r="B24" s="128"/>
      <c r="C24" s="128"/>
      <c r="D24" s="235"/>
      <c r="E24" s="236"/>
      <c r="F24" s="128"/>
      <c r="G24" s="235"/>
      <c r="H24" s="128"/>
    </row>
    <row r="25" spans="1:8" ht="16.5" thickBot="1">
      <c r="A25" s="119"/>
      <c r="B25" s="169" t="s">
        <v>271</v>
      </c>
      <c r="C25" s="145"/>
      <c r="D25" s="235"/>
      <c r="E25" s="236"/>
      <c r="F25" s="128"/>
      <c r="G25" s="235"/>
      <c r="H25" s="128"/>
    </row>
    <row r="26" spans="1:8" ht="15.75" thickTop="1">
      <c r="A26" s="119">
        <f>+A23+1</f>
        <v>13</v>
      </c>
      <c r="B26" s="128" t="s">
        <v>272</v>
      </c>
      <c r="C26" s="128"/>
      <c r="D26" s="237"/>
      <c r="E26" s="238"/>
      <c r="F26" s="170"/>
      <c r="G26" s="543"/>
      <c r="H26" s="209">
        <v>1225645543</v>
      </c>
    </row>
    <row r="27" spans="1:8">
      <c r="A27" s="119">
        <f>+A26+1</f>
        <v>14</v>
      </c>
      <c r="B27" s="119" t="s">
        <v>273</v>
      </c>
      <c r="C27" s="119"/>
      <c r="D27" s="239"/>
      <c r="E27" s="240"/>
      <c r="F27" s="172"/>
      <c r="G27" s="544"/>
      <c r="H27" s="173">
        <v>0</v>
      </c>
    </row>
    <row r="28" spans="1:8">
      <c r="A28" s="119">
        <f>+A27+1</f>
        <v>15</v>
      </c>
      <c r="B28" s="128" t="s">
        <v>274</v>
      </c>
      <c r="C28" s="128"/>
      <c r="D28" s="239"/>
      <c r="E28" s="240"/>
      <c r="F28" s="172"/>
      <c r="G28" s="544"/>
      <c r="H28" s="173">
        <v>0</v>
      </c>
    </row>
    <row r="29" spans="1:8" ht="15.75" thickBot="1">
      <c r="A29" s="119">
        <f>+A28+1</f>
        <v>16</v>
      </c>
      <c r="B29" s="128" t="s">
        <v>275</v>
      </c>
      <c r="C29" s="128"/>
      <c r="D29" s="239"/>
      <c r="E29" s="240"/>
      <c r="F29" s="172"/>
      <c r="G29" s="544"/>
      <c r="H29" s="173"/>
    </row>
    <row r="30" spans="1:8" ht="17.25" thickTop="1" thickBot="1">
      <c r="A30" s="119">
        <f>+A29+1</f>
        <v>17</v>
      </c>
      <c r="B30" s="158" t="s">
        <v>276</v>
      </c>
      <c r="C30" s="158"/>
      <c r="D30" s="241"/>
      <c r="E30" s="242"/>
      <c r="F30" s="174"/>
      <c r="G30" s="285"/>
      <c r="H30" s="210">
        <f>+H26</f>
        <v>1225645543</v>
      </c>
    </row>
    <row r="31" spans="1:8" ht="15.75" thickTop="1">
      <c r="A31" s="119"/>
      <c r="B31" s="128" t="s">
        <v>252</v>
      </c>
      <c r="C31" s="128"/>
      <c r="D31" s="243"/>
      <c r="E31" s="244"/>
      <c r="F31" s="175"/>
      <c r="G31" s="243"/>
      <c r="H31" s="175"/>
    </row>
    <row r="32" spans="1:8" ht="16.5" thickBot="1">
      <c r="A32" s="119"/>
      <c r="B32" s="146" t="s">
        <v>277</v>
      </c>
      <c r="C32" s="146"/>
      <c r="D32" s="243"/>
      <c r="E32" s="244"/>
      <c r="F32" s="175"/>
      <c r="G32" s="243"/>
      <c r="H32" s="175"/>
    </row>
    <row r="33" spans="1:8" ht="15.75" thickTop="1">
      <c r="A33" s="288">
        <f>+A30+1</f>
        <v>18</v>
      </c>
      <c r="B33" s="289" t="s">
        <v>278</v>
      </c>
      <c r="C33" s="289"/>
      <c r="D33" s="245">
        <v>3.8240000000000003E-4</v>
      </c>
      <c r="E33" s="246">
        <v>0</v>
      </c>
      <c r="F33" s="176">
        <v>0</v>
      </c>
      <c r="G33" s="246">
        <f>+INT(G23/$H$30*10000000)/10000000</f>
        <v>0</v>
      </c>
      <c r="H33" s="211">
        <f>SUM(D33:G33)</f>
        <v>3.8240000000000003E-4</v>
      </c>
    </row>
    <row r="34" spans="1:8">
      <c r="A34" s="119">
        <f t="shared" ref="A34:A39" si="0">+A33+1</f>
        <v>19</v>
      </c>
      <c r="B34" s="128" t="s">
        <v>279</v>
      </c>
      <c r="C34" s="128"/>
      <c r="D34" s="247">
        <f>$H$30*D33</f>
        <v>468686.85564320005</v>
      </c>
      <c r="E34" s="180">
        <f>+$H$30*E33</f>
        <v>0</v>
      </c>
      <c r="F34" s="177">
        <f>+$H$30*F33</f>
        <v>0</v>
      </c>
      <c r="G34" s="180">
        <f>+$H$30*G33</f>
        <v>0</v>
      </c>
      <c r="H34" s="178">
        <v>428975.94</v>
      </c>
    </row>
    <row r="35" spans="1:8">
      <c r="A35" s="119">
        <f t="shared" si="0"/>
        <v>20</v>
      </c>
      <c r="B35" s="128" t="s">
        <v>280</v>
      </c>
      <c r="C35" s="128"/>
      <c r="D35" s="179">
        <f>IF(D23&lt;&gt;0,+D34-D23,0)</f>
        <v>0</v>
      </c>
      <c r="E35" s="180">
        <f>IF(E23&lt;&gt;0,+E34-E23,0)</f>
        <v>0</v>
      </c>
      <c r="F35" s="181">
        <f>IF(F23&lt;&gt;0,+F34-F23,0)</f>
        <v>0</v>
      </c>
      <c r="G35" s="181">
        <f>IF(G23&lt;&gt;0,+G34-G23,0)</f>
        <v>0</v>
      </c>
      <c r="H35" s="178">
        <v>0</v>
      </c>
    </row>
    <row r="36" spans="1:8" ht="15.75">
      <c r="A36" s="119">
        <f t="shared" si="0"/>
        <v>21</v>
      </c>
      <c r="B36" s="128" t="s">
        <v>281</v>
      </c>
      <c r="C36" s="128"/>
      <c r="D36" s="247">
        <v>0</v>
      </c>
      <c r="E36" s="248"/>
      <c r="F36" s="182"/>
      <c r="G36" s="248"/>
      <c r="H36" s="183">
        <v>0</v>
      </c>
    </row>
    <row r="37" spans="1:8">
      <c r="A37" s="119">
        <f t="shared" si="0"/>
        <v>22</v>
      </c>
      <c r="B37" s="128" t="s">
        <v>282</v>
      </c>
      <c r="C37" s="128"/>
      <c r="D37" s="249">
        <f>INT(0.5 + D36/$H$30*10000000)/10000000</f>
        <v>0</v>
      </c>
      <c r="E37" s="250"/>
      <c r="F37" s="184"/>
      <c r="G37" s="250"/>
      <c r="H37" s="185">
        <v>0</v>
      </c>
    </row>
    <row r="38" spans="1:8">
      <c r="A38" s="119">
        <f t="shared" si="0"/>
        <v>23</v>
      </c>
      <c r="B38" s="128" t="s">
        <v>283</v>
      </c>
      <c r="C38" s="128"/>
      <c r="D38" s="249">
        <f>D33-D37</f>
        <v>3.8240000000000003E-4</v>
      </c>
      <c r="E38" s="251">
        <f>E33</f>
        <v>0</v>
      </c>
      <c r="F38" s="186">
        <f>F33</f>
        <v>0</v>
      </c>
      <c r="G38" s="251">
        <f>G33</f>
        <v>0</v>
      </c>
      <c r="H38" s="187">
        <v>3.5E-4</v>
      </c>
    </row>
    <row r="39" spans="1:8">
      <c r="A39" s="119">
        <f t="shared" si="0"/>
        <v>24</v>
      </c>
      <c r="B39" s="128" t="s">
        <v>284</v>
      </c>
      <c r="C39" s="128"/>
      <c r="D39" s="247">
        <f>ROUND(+D38*$H$30,2)</f>
        <v>468686.86</v>
      </c>
      <c r="E39" s="180">
        <f>ROUND(+E38*$H$30,2)</f>
        <v>0</v>
      </c>
      <c r="F39" s="177">
        <f>ROUND(+F38*$H$30,2)</f>
        <v>0</v>
      </c>
      <c r="G39" s="180">
        <f>ROUND(+G38*$H$30,2)</f>
        <v>0</v>
      </c>
      <c r="H39" s="178">
        <v>428975.94</v>
      </c>
    </row>
    <row r="40" spans="1:8">
      <c r="A40" s="128" t="s">
        <v>285</v>
      </c>
      <c r="B40" s="188" t="s">
        <v>286</v>
      </c>
      <c r="C40" s="189"/>
      <c r="D40" s="252">
        <v>33.549999999999997</v>
      </c>
      <c r="E40" s="248">
        <v>0</v>
      </c>
      <c r="F40" s="190">
        <v>0</v>
      </c>
      <c r="G40" s="248">
        <v>0</v>
      </c>
      <c r="H40" s="178">
        <v>0</v>
      </c>
    </row>
    <row r="41" spans="1:8">
      <c r="A41" s="128" t="s">
        <v>287</v>
      </c>
      <c r="B41" s="188" t="s">
        <v>288</v>
      </c>
      <c r="C41" s="128"/>
      <c r="D41" s="252">
        <v>0</v>
      </c>
      <c r="E41" s="248">
        <v>0</v>
      </c>
      <c r="F41" s="190">
        <v>0</v>
      </c>
      <c r="G41" s="248">
        <v>0</v>
      </c>
      <c r="H41" s="178">
        <v>0</v>
      </c>
    </row>
    <row r="42" spans="1:8">
      <c r="A42" s="128" t="s">
        <v>289</v>
      </c>
      <c r="B42" s="128" t="s">
        <v>290</v>
      </c>
      <c r="C42" s="128"/>
      <c r="D42" s="247">
        <f>SUM(D39:D41)</f>
        <v>468720.41</v>
      </c>
      <c r="E42" s="180">
        <f>SUM(E39:E41)</f>
        <v>0</v>
      </c>
      <c r="F42" s="177">
        <f>SUM(F39:F41)</f>
        <v>0</v>
      </c>
      <c r="G42" s="545">
        <f>SUM(G39:G41)</f>
        <v>0</v>
      </c>
      <c r="H42" s="178">
        <f>+H39</f>
        <v>428975.94</v>
      </c>
    </row>
    <row r="43" spans="1:8">
      <c r="A43" s="119">
        <v>25</v>
      </c>
      <c r="B43" s="128" t="s">
        <v>291</v>
      </c>
      <c r="C43" s="128"/>
      <c r="D43" s="253">
        <v>425752.31</v>
      </c>
      <c r="E43" s="180">
        <v>0</v>
      </c>
      <c r="F43" s="177">
        <v>0</v>
      </c>
      <c r="G43" s="545">
        <v>0</v>
      </c>
      <c r="H43" s="178">
        <f>+H42</f>
        <v>428975.94</v>
      </c>
    </row>
    <row r="44" spans="1:8">
      <c r="A44" s="119">
        <f>+A43+1</f>
        <v>26</v>
      </c>
      <c r="B44" s="128" t="s">
        <v>292</v>
      </c>
      <c r="C44" s="128"/>
      <c r="D44" s="253">
        <f>SUM(D43)-SUM(D42)</f>
        <v>-42968.099999999977</v>
      </c>
      <c r="E44" s="180">
        <f>SUM(E43)-SUM(E42)</f>
        <v>0</v>
      </c>
      <c r="F44" s="191">
        <f>SUM(F43)-SUM(F42)</f>
        <v>0</v>
      </c>
      <c r="G44" s="545">
        <f>SUM(G43)-SUM(G42)</f>
        <v>0</v>
      </c>
      <c r="H44" s="178">
        <v>0</v>
      </c>
    </row>
    <row r="45" spans="1:8" ht="15.75" thickBot="1">
      <c r="A45" s="288">
        <f>+A44+1</f>
        <v>27</v>
      </c>
      <c r="B45" s="289" t="s">
        <v>293</v>
      </c>
      <c r="C45" s="289"/>
      <c r="D45" s="252">
        <v>-180.74</v>
      </c>
      <c r="E45" s="248">
        <v>0</v>
      </c>
      <c r="F45" s="190">
        <v>0</v>
      </c>
      <c r="G45" s="248"/>
      <c r="H45" s="212">
        <v>-5509.23</v>
      </c>
    </row>
    <row r="46" spans="1:8" ht="16.5" thickBot="1">
      <c r="A46" s="119">
        <f>+A45+1</f>
        <v>28</v>
      </c>
      <c r="B46" s="158" t="s">
        <v>294</v>
      </c>
      <c r="C46" s="158"/>
      <c r="D46" s="254">
        <f>SUM(D42,D44:D45)</f>
        <v>425571.57</v>
      </c>
      <c r="E46" s="255">
        <f>SUM(E42,E44:E45)</f>
        <v>0</v>
      </c>
      <c r="F46" s="192">
        <f>SUM(F42,F44:F45)</f>
        <v>0</v>
      </c>
      <c r="G46" s="546">
        <f>SUM(G42,G44:G45)</f>
        <v>0</v>
      </c>
      <c r="H46" s="193">
        <v>423466.71</v>
      </c>
    </row>
    <row r="47" spans="1:8" ht="15.75" thickTop="1">
      <c r="A47" s="119"/>
      <c r="B47" s="128"/>
      <c r="C47" s="128"/>
      <c r="D47" s="236"/>
      <c r="E47" s="236"/>
      <c r="F47" s="168"/>
      <c r="G47" s="236"/>
      <c r="H47" s="168"/>
    </row>
    <row r="48" spans="1:8" ht="16.5" thickBot="1">
      <c r="A48" s="119"/>
      <c r="B48" s="146" t="s">
        <v>295</v>
      </c>
      <c r="C48" s="146"/>
      <c r="D48" s="236"/>
      <c r="E48" s="236"/>
      <c r="F48" s="168"/>
      <c r="G48" s="236"/>
      <c r="H48" s="168"/>
    </row>
    <row r="49" spans="1:8" ht="15.75" thickTop="1">
      <c r="A49" s="119">
        <f>+A46+1</f>
        <v>29</v>
      </c>
      <c r="B49" s="128" t="s">
        <v>296</v>
      </c>
      <c r="C49" s="128"/>
      <c r="D49" s="256"/>
      <c r="E49" s="257"/>
      <c r="F49" s="194"/>
      <c r="G49" s="547">
        <v>0</v>
      </c>
      <c r="H49" s="195">
        <f>G49</f>
        <v>0</v>
      </c>
    </row>
    <row r="50" spans="1:8">
      <c r="A50" s="119">
        <f t="shared" ref="A50:A58" si="1">+A49+1</f>
        <v>30</v>
      </c>
      <c r="B50" s="128" t="s">
        <v>297</v>
      </c>
      <c r="C50" s="128"/>
      <c r="D50" s="258"/>
      <c r="E50" s="259"/>
      <c r="F50" s="196"/>
      <c r="G50" s="180">
        <v>0</v>
      </c>
      <c r="H50" s="197">
        <f t="shared" ref="H50:H57" si="2">+G50</f>
        <v>0</v>
      </c>
    </row>
    <row r="51" spans="1:8">
      <c r="A51" s="119">
        <f t="shared" si="1"/>
        <v>31</v>
      </c>
      <c r="B51" s="128" t="s">
        <v>298</v>
      </c>
      <c r="C51" s="128"/>
      <c r="D51" s="258"/>
      <c r="E51" s="259"/>
      <c r="F51" s="196"/>
      <c r="G51" s="180">
        <v>0</v>
      </c>
      <c r="H51" s="197">
        <f t="shared" si="2"/>
        <v>0</v>
      </c>
    </row>
    <row r="52" spans="1:8">
      <c r="A52" s="119">
        <f t="shared" si="1"/>
        <v>32</v>
      </c>
      <c r="B52" s="128" t="s">
        <v>299</v>
      </c>
      <c r="C52" s="128"/>
      <c r="D52" s="258"/>
      <c r="E52" s="259"/>
      <c r="F52" s="196"/>
      <c r="G52" s="180">
        <v>0</v>
      </c>
      <c r="H52" s="197">
        <f t="shared" si="2"/>
        <v>0</v>
      </c>
    </row>
    <row r="53" spans="1:8">
      <c r="A53" s="119">
        <f t="shared" si="1"/>
        <v>33</v>
      </c>
      <c r="B53" s="128"/>
      <c r="C53" s="128"/>
      <c r="D53" s="258"/>
      <c r="E53" s="259"/>
      <c r="F53" s="196"/>
      <c r="G53" s="180"/>
      <c r="H53" s="219"/>
    </row>
    <row r="54" spans="1:8">
      <c r="A54" s="119">
        <f t="shared" si="1"/>
        <v>34</v>
      </c>
      <c r="B54" s="128" t="s">
        <v>300</v>
      </c>
      <c r="C54" s="128"/>
      <c r="D54" s="258"/>
      <c r="E54" s="259"/>
      <c r="F54" s="196"/>
      <c r="G54" s="180">
        <v>0</v>
      </c>
      <c r="H54" s="197">
        <f t="shared" si="2"/>
        <v>0</v>
      </c>
    </row>
    <row r="55" spans="1:8">
      <c r="A55" s="119">
        <f t="shared" si="1"/>
        <v>35</v>
      </c>
      <c r="B55" s="128" t="s">
        <v>301</v>
      </c>
      <c r="C55" s="128"/>
      <c r="D55" s="258"/>
      <c r="E55" s="259"/>
      <c r="F55" s="196"/>
      <c r="G55" s="180">
        <v>0</v>
      </c>
      <c r="H55" s="197">
        <f t="shared" si="2"/>
        <v>0</v>
      </c>
    </row>
    <row r="56" spans="1:8">
      <c r="A56" s="119">
        <f t="shared" si="1"/>
        <v>36</v>
      </c>
      <c r="B56" s="128" t="s">
        <v>302</v>
      </c>
      <c r="C56" s="128"/>
      <c r="D56" s="258"/>
      <c r="E56" s="259"/>
      <c r="F56" s="196"/>
      <c r="G56" s="180">
        <v>0</v>
      </c>
      <c r="H56" s="197">
        <f t="shared" si="2"/>
        <v>0</v>
      </c>
    </row>
    <row r="57" spans="1:8" ht="32.25" customHeight="1" thickBot="1">
      <c r="A57" s="198">
        <f t="shared" si="1"/>
        <v>37</v>
      </c>
      <c r="B57" s="1078" t="s">
        <v>303</v>
      </c>
      <c r="C57" s="1079"/>
      <c r="D57" s="260"/>
      <c r="E57" s="261"/>
      <c r="F57" s="199"/>
      <c r="G57" s="548">
        <v>0</v>
      </c>
      <c r="H57" s="200">
        <f t="shared" si="2"/>
        <v>0</v>
      </c>
    </row>
    <row r="58" spans="1:8" ht="17.25" thickTop="1" thickBot="1">
      <c r="A58" s="119">
        <f t="shared" si="1"/>
        <v>38</v>
      </c>
      <c r="B58" s="158" t="s">
        <v>304</v>
      </c>
      <c r="C58" s="158"/>
      <c r="D58" s="262"/>
      <c r="E58" s="263"/>
      <c r="F58" s="201"/>
      <c r="G58" s="265">
        <f>SUM(G49:G57)</f>
        <v>0</v>
      </c>
      <c r="H58" s="202">
        <f>SUM(H49:H57)</f>
        <v>0</v>
      </c>
    </row>
    <row r="59" spans="1:8" ht="16.5" thickTop="1" thickBot="1">
      <c r="A59" s="119"/>
      <c r="B59" s="128"/>
      <c r="C59" s="128"/>
      <c r="D59" s="264"/>
      <c r="E59" s="264"/>
      <c r="F59" s="203"/>
      <c r="G59" s="264"/>
      <c r="H59" s="203"/>
    </row>
    <row r="60" spans="1:8" ht="17.25" thickTop="1" thickBot="1">
      <c r="A60" s="119">
        <f>+A58+1</f>
        <v>39</v>
      </c>
      <c r="B60" s="158" t="s">
        <v>305</v>
      </c>
      <c r="C60" s="158"/>
      <c r="D60" s="265">
        <f>D46</f>
        <v>425571.57</v>
      </c>
      <c r="E60" s="266">
        <f>E46</f>
        <v>0</v>
      </c>
      <c r="F60" s="204">
        <f>F46</f>
        <v>0</v>
      </c>
      <c r="G60" s="266">
        <f>G46+G58</f>
        <v>0</v>
      </c>
      <c r="H60" s="202">
        <f>H46+H58</f>
        <v>423466.71</v>
      </c>
    </row>
    <row r="61" spans="1:8" ht="16.5" thickTop="1" thickBot="1">
      <c r="A61" s="119">
        <f>+A60+1</f>
        <v>40</v>
      </c>
      <c r="B61" s="205" t="s">
        <v>306</v>
      </c>
      <c r="C61" s="205"/>
      <c r="D61" s="267"/>
      <c r="E61" s="268"/>
      <c r="F61" s="206"/>
      <c r="G61" s="268"/>
      <c r="H61" s="207">
        <v>0</v>
      </c>
    </row>
    <row r="62" spans="1:8" ht="15.75" thickTop="1">
      <c r="A62" s="119"/>
      <c r="B62" s="119"/>
      <c r="C62" s="119"/>
      <c r="D62" s="269"/>
      <c r="E62" s="270"/>
      <c r="F62" s="119"/>
      <c r="G62" s="269"/>
      <c r="H62" s="119"/>
    </row>
    <row r="63" spans="1:8">
      <c r="A63" s="128" t="s">
        <v>307</v>
      </c>
      <c r="B63" s="128"/>
      <c r="C63" s="128"/>
      <c r="D63" s="235"/>
      <c r="E63" s="271"/>
      <c r="F63" s="128"/>
      <c r="G63" s="235"/>
      <c r="H63" s="128"/>
    </row>
    <row r="64" spans="1:8" ht="15.75">
      <c r="A64" s="119" t="s">
        <v>308</v>
      </c>
      <c r="B64" s="128"/>
      <c r="C64" s="128"/>
      <c r="D64" s="235"/>
      <c r="E64" s="271"/>
      <c r="F64" s="128"/>
      <c r="G64" s="235"/>
      <c r="H64" s="128"/>
    </row>
    <row r="65" spans="1:8">
      <c r="A65" s="128" t="s">
        <v>309</v>
      </c>
      <c r="B65" s="128"/>
      <c r="C65" s="128"/>
      <c r="D65" s="235"/>
      <c r="E65" s="271"/>
      <c r="F65" s="128"/>
      <c r="G65" s="235"/>
      <c r="H65" s="128"/>
    </row>
    <row r="66" spans="1:8">
      <c r="A66" s="128" t="s">
        <v>310</v>
      </c>
      <c r="B66" s="128"/>
      <c r="C66" s="128"/>
      <c r="D66" s="235"/>
      <c r="E66" s="271"/>
      <c r="F66" s="128"/>
      <c r="G66" s="235"/>
      <c r="H66" s="128"/>
    </row>
    <row r="67" spans="1:8">
      <c r="D67" s="100"/>
      <c r="E67" s="272"/>
      <c r="G67" s="100"/>
    </row>
    <row r="68" spans="1:8">
      <c r="D68" s="100"/>
      <c r="E68" s="272"/>
      <c r="G68" s="100"/>
    </row>
    <row r="69" spans="1:8">
      <c r="D69" s="100"/>
      <c r="E69" s="272"/>
      <c r="G69" s="100"/>
    </row>
    <row r="70" spans="1:8" ht="20.25">
      <c r="A70" s="118" t="s">
        <v>243</v>
      </c>
      <c r="B70" s="119"/>
      <c r="C70" s="118"/>
      <c r="D70" s="100"/>
      <c r="E70" s="273"/>
      <c r="F70" s="119"/>
      <c r="G70" s="269"/>
      <c r="H70" s="119"/>
    </row>
    <row r="71" spans="1:8" ht="20.25">
      <c r="A71" s="121"/>
      <c r="B71" s="118" t="str">
        <f>+A2</f>
        <v xml:space="preserve">                       Tax Year 2023-2024</v>
      </c>
      <c r="C71" s="118"/>
      <c r="D71" s="269"/>
      <c r="E71" s="270"/>
      <c r="F71" s="119"/>
      <c r="G71" s="269"/>
      <c r="H71" s="119"/>
    </row>
    <row r="72" spans="1:8">
      <c r="A72" s="123" t="s">
        <v>244</v>
      </c>
      <c r="B72" s="124"/>
      <c r="C72" s="125"/>
      <c r="D72" s="269"/>
      <c r="E72" s="270"/>
      <c r="F72" s="119"/>
      <c r="G72" s="269"/>
      <c r="H72" s="119"/>
    </row>
    <row r="73" spans="1:8" ht="21" thickBot="1">
      <c r="A73" s="126" t="s">
        <v>245</v>
      </c>
      <c r="B73" s="127"/>
      <c r="C73" s="127"/>
      <c r="D73" s="269"/>
      <c r="E73" s="270"/>
      <c r="F73" s="119"/>
      <c r="G73" s="269"/>
      <c r="H73" s="119"/>
    </row>
    <row r="74" spans="1:8" ht="15.75" thickBot="1">
      <c r="A74" s="119"/>
      <c r="B74" s="119"/>
      <c r="C74" s="119"/>
      <c r="D74" s="269"/>
      <c r="E74" s="270"/>
      <c r="F74" s="119"/>
      <c r="G74" s="235" t="s">
        <v>246</v>
      </c>
      <c r="H74" s="129" t="s">
        <v>311</v>
      </c>
    </row>
    <row r="75" spans="1:8" ht="15.75" thickTop="1">
      <c r="A75" s="119">
        <v>1</v>
      </c>
      <c r="B75" s="130" t="s">
        <v>248</v>
      </c>
      <c r="C75" s="131">
        <v>200009180</v>
      </c>
      <c r="D75" s="274"/>
      <c r="E75" s="275"/>
      <c r="F75" s="119"/>
      <c r="G75" s="549"/>
      <c r="H75" s="135" t="s">
        <v>249</v>
      </c>
    </row>
    <row r="76" spans="1:8">
      <c r="A76" s="119">
        <v>2</v>
      </c>
      <c r="B76" s="130" t="s">
        <v>250</v>
      </c>
      <c r="C76" s="136" t="s">
        <v>315</v>
      </c>
      <c r="D76" s="276"/>
      <c r="E76" s="277"/>
      <c r="F76" s="119"/>
      <c r="G76" s="549"/>
      <c r="H76" s="134"/>
    </row>
    <row r="77" spans="1:8" ht="15.75" thickBot="1">
      <c r="A77" s="119">
        <v>3</v>
      </c>
      <c r="B77" s="130" t="s">
        <v>251</v>
      </c>
      <c r="C77" s="139" t="s">
        <v>316</v>
      </c>
      <c r="D77" s="278"/>
      <c r="E77" s="279"/>
      <c r="F77" s="134"/>
      <c r="G77" s="549"/>
      <c r="H77" s="134"/>
    </row>
    <row r="78" spans="1:8" ht="15.75" thickTop="1">
      <c r="A78" s="119"/>
      <c r="B78" s="130" t="s">
        <v>252</v>
      </c>
      <c r="C78" s="130"/>
      <c r="D78" s="280"/>
      <c r="E78" s="281"/>
      <c r="F78" s="134"/>
      <c r="G78" s="549"/>
      <c r="H78" s="134"/>
    </row>
    <row r="79" spans="1:8">
      <c r="A79" s="119"/>
      <c r="B79" s="128"/>
      <c r="C79" s="128"/>
      <c r="D79" s="282" t="s">
        <v>253</v>
      </c>
      <c r="E79" s="287" t="s">
        <v>254</v>
      </c>
      <c r="F79" s="142" t="s">
        <v>255</v>
      </c>
      <c r="G79" s="280" t="s">
        <v>256</v>
      </c>
      <c r="H79" s="134"/>
    </row>
    <row r="80" spans="1:8">
      <c r="A80" s="119">
        <v>4</v>
      </c>
      <c r="B80" s="130" t="s">
        <v>257</v>
      </c>
      <c r="C80" s="130"/>
      <c r="D80" s="220"/>
      <c r="E80" s="221" t="s">
        <v>317</v>
      </c>
      <c r="F80" s="144"/>
      <c r="G80" s="223" t="s">
        <v>316</v>
      </c>
      <c r="H80" s="220"/>
    </row>
    <row r="81" spans="1:8" s="2" customFormat="1" ht="12.75">
      <c r="A81" s="125"/>
      <c r="B81" s="125"/>
      <c r="C81" s="125"/>
      <c r="D81" s="283" t="s">
        <v>258</v>
      </c>
      <c r="E81" s="284" t="s">
        <v>258</v>
      </c>
      <c r="F81" s="215" t="s">
        <v>258</v>
      </c>
      <c r="G81" s="550" t="s">
        <v>259</v>
      </c>
      <c r="H81" s="215" t="s">
        <v>260</v>
      </c>
    </row>
    <row r="82" spans="1:8" ht="16.5" thickBot="1">
      <c r="A82" s="119"/>
      <c r="B82" s="146" t="s">
        <v>261</v>
      </c>
      <c r="C82" s="146"/>
      <c r="D82" s="285"/>
      <c r="E82" s="286"/>
      <c r="F82" s="147"/>
      <c r="G82" s="285"/>
      <c r="H82" s="147"/>
    </row>
    <row r="83" spans="1:8" ht="16.5" thickTop="1">
      <c r="A83" s="128">
        <f>1+A80</f>
        <v>5</v>
      </c>
      <c r="B83" s="130" t="s">
        <v>262</v>
      </c>
      <c r="C83" s="146"/>
      <c r="D83" s="149">
        <v>0</v>
      </c>
      <c r="E83" s="224"/>
      <c r="F83" s="150"/>
      <c r="G83" s="536"/>
      <c r="H83" s="151">
        <f>+D83</f>
        <v>0</v>
      </c>
    </row>
    <row r="84" spans="1:8">
      <c r="A84" s="119">
        <f>+A83+1</f>
        <v>6</v>
      </c>
      <c r="B84" s="128" t="s">
        <v>263</v>
      </c>
      <c r="C84" s="128"/>
      <c r="D84" s="225"/>
      <c r="E84" s="226">
        <v>0</v>
      </c>
      <c r="F84" s="152"/>
      <c r="G84" s="537"/>
      <c r="H84" s="151">
        <f>+E84</f>
        <v>0</v>
      </c>
    </row>
    <row r="85" spans="1:8">
      <c r="A85" s="119">
        <f>+A84+1</f>
        <v>7</v>
      </c>
      <c r="B85" s="128" t="s">
        <v>264</v>
      </c>
      <c r="C85" s="128"/>
      <c r="D85" s="227"/>
      <c r="E85" s="228"/>
      <c r="F85" s="153">
        <v>0</v>
      </c>
      <c r="G85" s="538"/>
      <c r="H85" s="154">
        <f>+F85</f>
        <v>0</v>
      </c>
    </row>
    <row r="86" spans="1:8">
      <c r="A86" s="119">
        <f>+A85+1</f>
        <v>8</v>
      </c>
      <c r="B86" s="128" t="s">
        <v>265</v>
      </c>
      <c r="C86" s="128"/>
      <c r="D86" s="227"/>
      <c r="E86" s="229"/>
      <c r="F86" s="155">
        <v>0</v>
      </c>
      <c r="G86" s="539"/>
      <c r="H86" s="154">
        <f>+F86</f>
        <v>0</v>
      </c>
    </row>
    <row r="87" spans="1:8" ht="15.75" thickBot="1">
      <c r="A87" s="119">
        <f>+A86+1</f>
        <v>9</v>
      </c>
      <c r="B87" s="128" t="s">
        <v>266</v>
      </c>
      <c r="C87" s="128"/>
      <c r="D87" s="227"/>
      <c r="E87" s="230"/>
      <c r="F87" s="156"/>
      <c r="G87" s="540">
        <v>0</v>
      </c>
      <c r="H87" s="157">
        <f>+G87</f>
        <v>0</v>
      </c>
    </row>
    <row r="88" spans="1:8" ht="17.25" thickTop="1" thickBot="1">
      <c r="A88" s="119">
        <f>+A87+1</f>
        <v>10</v>
      </c>
      <c r="B88" s="158" t="s">
        <v>267</v>
      </c>
      <c r="C88" s="158"/>
      <c r="D88" s="159">
        <f>SUM(D83)</f>
        <v>0</v>
      </c>
      <c r="E88" s="231">
        <f>SUM(E84)</f>
        <v>0</v>
      </c>
      <c r="F88" s="160">
        <f>SUM(F85:F86)</f>
        <v>0</v>
      </c>
      <c r="G88" s="541">
        <f>SUM(G87)</f>
        <v>0</v>
      </c>
      <c r="H88" s="160">
        <f>SUM(D88:G88)</f>
        <v>0</v>
      </c>
    </row>
    <row r="89" spans="1:8" ht="15.75" thickTop="1">
      <c r="A89" s="119"/>
      <c r="B89" s="128"/>
      <c r="C89" s="128"/>
      <c r="D89" s="232"/>
      <c r="E89" s="233"/>
      <c r="F89" s="161"/>
      <c r="G89" s="232"/>
      <c r="H89" s="161"/>
    </row>
    <row r="90" spans="1:8" ht="16.5" thickBot="1">
      <c r="A90" s="119"/>
      <c r="B90" s="146" t="s">
        <v>268</v>
      </c>
      <c r="C90" s="146"/>
      <c r="D90" s="232"/>
      <c r="E90" s="233"/>
      <c r="F90" s="161"/>
      <c r="G90" s="232"/>
      <c r="H90" s="161"/>
    </row>
    <row r="91" spans="1:8" ht="15.75" thickTop="1">
      <c r="A91" s="119">
        <f>+A88+1</f>
        <v>11</v>
      </c>
      <c r="B91" s="128" t="s">
        <v>269</v>
      </c>
      <c r="C91" s="128"/>
      <c r="D91" s="162">
        <v>0</v>
      </c>
      <c r="E91" s="234">
        <v>0</v>
      </c>
      <c r="F91" s="163">
        <v>0</v>
      </c>
      <c r="G91" s="542">
        <v>0</v>
      </c>
      <c r="H91" s="164">
        <f>SUM(D91:G91)</f>
        <v>0</v>
      </c>
    </row>
    <row r="92" spans="1:8" ht="16.5" thickBot="1">
      <c r="A92" s="119">
        <f>+A91+1</f>
        <v>12</v>
      </c>
      <c r="B92" s="158" t="s">
        <v>270</v>
      </c>
      <c r="C92" s="158"/>
      <c r="D92" s="165">
        <f>SUM(D88)-SUM(D91)</f>
        <v>0</v>
      </c>
      <c r="E92" s="166">
        <f>SUM(E88)-SUM(E91)</f>
        <v>0</v>
      </c>
      <c r="F92" s="166">
        <f>SUM(F88)-SUM(F91)</f>
        <v>0</v>
      </c>
      <c r="G92" s="166">
        <f>SUM(G88)-SUM(G91)</f>
        <v>0</v>
      </c>
      <c r="H92" s="167">
        <f>+H88-H91</f>
        <v>0</v>
      </c>
    </row>
    <row r="93" spans="1:8" ht="15.75" thickTop="1">
      <c r="A93" s="119"/>
      <c r="B93" s="128"/>
      <c r="C93" s="128"/>
      <c r="D93" s="235"/>
      <c r="E93" s="236"/>
      <c r="F93" s="128"/>
      <c r="G93" s="235"/>
      <c r="H93" s="128"/>
    </row>
    <row r="94" spans="1:8" ht="16.5" thickBot="1">
      <c r="A94" s="119"/>
      <c r="B94" s="169" t="s">
        <v>271</v>
      </c>
      <c r="C94" s="145"/>
      <c r="D94" s="235"/>
      <c r="E94" s="236"/>
      <c r="F94" s="128"/>
      <c r="G94" s="235"/>
      <c r="H94" s="128"/>
    </row>
    <row r="95" spans="1:8" ht="15.75" thickTop="1">
      <c r="A95" s="119">
        <f>+A92+1</f>
        <v>13</v>
      </c>
      <c r="B95" s="128" t="s">
        <v>272</v>
      </c>
      <c r="C95" s="128"/>
      <c r="D95" s="237"/>
      <c r="E95" s="238"/>
      <c r="F95" s="170"/>
      <c r="G95" s="543"/>
      <c r="H95" s="171">
        <f>+H26</f>
        <v>1225645543</v>
      </c>
    </row>
    <row r="96" spans="1:8">
      <c r="A96" s="119">
        <f>+A95+1</f>
        <v>14</v>
      </c>
      <c r="B96" s="119" t="s">
        <v>273</v>
      </c>
      <c r="C96" s="119"/>
      <c r="D96" s="239"/>
      <c r="E96" s="240"/>
      <c r="F96" s="172"/>
      <c r="G96" s="544"/>
      <c r="H96" s="173">
        <v>0</v>
      </c>
    </row>
    <row r="97" spans="1:8">
      <c r="A97" s="119">
        <f>+A96+1</f>
        <v>15</v>
      </c>
      <c r="B97" s="128" t="s">
        <v>274</v>
      </c>
      <c r="C97" s="128"/>
      <c r="D97" s="239"/>
      <c r="E97" s="240"/>
      <c r="F97" s="172"/>
      <c r="G97" s="544"/>
      <c r="H97" s="173">
        <v>0</v>
      </c>
    </row>
    <row r="98" spans="1:8" ht="15.75" thickBot="1">
      <c r="A98" s="119">
        <f>+A97+1</f>
        <v>16</v>
      </c>
      <c r="B98" s="128" t="s">
        <v>275</v>
      </c>
      <c r="C98" s="128"/>
      <c r="D98" s="239"/>
      <c r="E98" s="240"/>
      <c r="F98" s="172"/>
      <c r="G98" s="544"/>
      <c r="H98" s="173">
        <v>0</v>
      </c>
    </row>
    <row r="99" spans="1:8" ht="17.25" thickTop="1" thickBot="1">
      <c r="A99" s="119">
        <f>+A98+1</f>
        <v>17</v>
      </c>
      <c r="B99" s="158" t="s">
        <v>276</v>
      </c>
      <c r="C99" s="158"/>
      <c r="D99" s="241"/>
      <c r="E99" s="242"/>
      <c r="F99" s="174"/>
      <c r="G99" s="285"/>
      <c r="H99" s="160">
        <f>SUM(H95:H97)-SUM(H98)</f>
        <v>1225645543</v>
      </c>
    </row>
    <row r="100" spans="1:8" ht="15.75" thickTop="1">
      <c r="A100" s="119"/>
      <c r="B100" s="128" t="s">
        <v>252</v>
      </c>
      <c r="C100" s="128"/>
      <c r="D100" s="243"/>
      <c r="E100" s="244"/>
      <c r="F100" s="175"/>
      <c r="G100" s="243"/>
      <c r="H100" s="175"/>
    </row>
    <row r="101" spans="1:8" ht="16.5" thickBot="1">
      <c r="A101" s="119"/>
      <c r="B101" s="146" t="s">
        <v>277</v>
      </c>
      <c r="C101" s="146"/>
      <c r="D101" s="243"/>
      <c r="E101" s="244"/>
      <c r="F101" s="175"/>
      <c r="G101" s="243"/>
      <c r="H101" s="175"/>
    </row>
    <row r="102" spans="1:8" ht="15.75" thickTop="1">
      <c r="A102" s="288">
        <f>+A99+1</f>
        <v>18</v>
      </c>
      <c r="B102" s="289" t="s">
        <v>278</v>
      </c>
      <c r="C102" s="289"/>
      <c r="D102" s="245">
        <v>0</v>
      </c>
      <c r="E102" s="246">
        <v>3.5E-4</v>
      </c>
      <c r="F102" s="176">
        <v>0</v>
      </c>
      <c r="G102" s="246">
        <f>+INT(G92/$H$30*10000000)/10000000</f>
        <v>0</v>
      </c>
      <c r="H102" s="211">
        <f>SUM(D102:G102)</f>
        <v>3.5E-4</v>
      </c>
    </row>
    <row r="103" spans="1:8">
      <c r="A103" s="119">
        <f t="shared" ref="A103:A108" si="3">+A102+1</f>
        <v>19</v>
      </c>
      <c r="B103" s="128" t="s">
        <v>279</v>
      </c>
      <c r="C103" s="128"/>
      <c r="D103" s="247">
        <f>$H$30*D102</f>
        <v>0</v>
      </c>
      <c r="E103" s="180">
        <v>428975.94</v>
      </c>
      <c r="F103" s="177">
        <f>+$H$30*F102</f>
        <v>0</v>
      </c>
      <c r="G103" s="180">
        <f>+$H$30*G102</f>
        <v>0</v>
      </c>
      <c r="H103" s="178">
        <f>SUM(D103:G103)</f>
        <v>428975.94</v>
      </c>
    </row>
    <row r="104" spans="1:8">
      <c r="A104" s="119">
        <f t="shared" si="3"/>
        <v>20</v>
      </c>
      <c r="B104" s="128" t="s">
        <v>280</v>
      </c>
      <c r="C104" s="128"/>
      <c r="D104" s="179">
        <f>IF(D92&lt;&gt;0,+D103-D92,0)</f>
        <v>0</v>
      </c>
      <c r="E104" s="180">
        <f>IF(E92&lt;&gt;0,+E103-E92,0)</f>
        <v>0</v>
      </c>
      <c r="F104" s="181">
        <f>IF(F92&lt;&gt;0,+F103-F92,0)</f>
        <v>0</v>
      </c>
      <c r="G104" s="181">
        <f>IF(G92&lt;&gt;0,+G103-G92,0)</f>
        <v>0</v>
      </c>
      <c r="H104" s="178">
        <f>SUM(D104:G104)</f>
        <v>0</v>
      </c>
    </row>
    <row r="105" spans="1:8" ht="15.75">
      <c r="A105" s="119">
        <f t="shared" si="3"/>
        <v>21</v>
      </c>
      <c r="B105" s="128" t="s">
        <v>281</v>
      </c>
      <c r="C105" s="128"/>
      <c r="D105" s="247">
        <v>0</v>
      </c>
      <c r="E105" s="248"/>
      <c r="F105" s="182"/>
      <c r="G105" s="248"/>
      <c r="H105" s="183">
        <f>D105</f>
        <v>0</v>
      </c>
    </row>
    <row r="106" spans="1:8">
      <c r="A106" s="119">
        <f t="shared" si="3"/>
        <v>22</v>
      </c>
      <c r="B106" s="128" t="s">
        <v>282</v>
      </c>
      <c r="C106" s="128"/>
      <c r="D106" s="249">
        <f>INT(0.5 + D105/$H$30*10000000)/10000000</f>
        <v>0</v>
      </c>
      <c r="E106" s="250"/>
      <c r="F106" s="184"/>
      <c r="G106" s="250"/>
      <c r="H106" s="185">
        <f>D106</f>
        <v>0</v>
      </c>
    </row>
    <row r="107" spans="1:8">
      <c r="A107" s="119">
        <f t="shared" si="3"/>
        <v>23</v>
      </c>
      <c r="B107" s="128" t="s">
        <v>283</v>
      </c>
      <c r="C107" s="128"/>
      <c r="D107" s="249">
        <f>D102-D106</f>
        <v>0</v>
      </c>
      <c r="E107" s="251">
        <f>E102</f>
        <v>3.5E-4</v>
      </c>
      <c r="F107" s="186">
        <f>F102</f>
        <v>0</v>
      </c>
      <c r="G107" s="251">
        <f>G102</f>
        <v>0</v>
      </c>
      <c r="H107" s="187">
        <f t="shared" ref="H107:H113" si="4">SUM(D107:G107)</f>
        <v>3.5E-4</v>
      </c>
    </row>
    <row r="108" spans="1:8">
      <c r="A108" s="119">
        <f t="shared" si="3"/>
        <v>24</v>
      </c>
      <c r="B108" s="128" t="s">
        <v>284</v>
      </c>
      <c r="C108" s="128"/>
      <c r="D108" s="247">
        <f>ROUND(+D107*$H$30,2)</f>
        <v>0</v>
      </c>
      <c r="E108" s="180">
        <f>+E103</f>
        <v>428975.94</v>
      </c>
      <c r="F108" s="177">
        <f>ROUND(+F107*$H$30,2)</f>
        <v>0</v>
      </c>
      <c r="G108" s="180">
        <f>ROUND(+G107*$H$30,2)</f>
        <v>0</v>
      </c>
      <c r="H108" s="178">
        <f t="shared" si="4"/>
        <v>428975.94</v>
      </c>
    </row>
    <row r="109" spans="1:8">
      <c r="A109" s="128" t="s">
        <v>285</v>
      </c>
      <c r="B109" s="188" t="s">
        <v>286</v>
      </c>
      <c r="C109" s="189"/>
      <c r="D109" s="252">
        <v>0</v>
      </c>
      <c r="E109" s="248">
        <v>0</v>
      </c>
      <c r="F109" s="190">
        <v>0</v>
      </c>
      <c r="G109" s="248">
        <v>0</v>
      </c>
      <c r="H109" s="178">
        <f t="shared" si="4"/>
        <v>0</v>
      </c>
    </row>
    <row r="110" spans="1:8">
      <c r="A110" s="128" t="s">
        <v>287</v>
      </c>
      <c r="B110" s="188" t="s">
        <v>288</v>
      </c>
      <c r="C110" s="128"/>
      <c r="D110" s="252">
        <v>0</v>
      </c>
      <c r="E110" s="248">
        <v>0</v>
      </c>
      <c r="F110" s="190">
        <v>0</v>
      </c>
      <c r="G110" s="248">
        <v>0</v>
      </c>
      <c r="H110" s="178">
        <f t="shared" si="4"/>
        <v>0</v>
      </c>
    </row>
    <row r="111" spans="1:8">
      <c r="A111" s="128" t="s">
        <v>289</v>
      </c>
      <c r="B111" s="128" t="s">
        <v>290</v>
      </c>
      <c r="C111" s="128"/>
      <c r="D111" s="247">
        <f>SUM(D108:D110)</f>
        <v>0</v>
      </c>
      <c r="E111" s="180">
        <f>SUM(E108:E110)</f>
        <v>428975.94</v>
      </c>
      <c r="F111" s="177">
        <f>SUM(F108:F110)</f>
        <v>0</v>
      </c>
      <c r="G111" s="545">
        <f>SUM(G108:G110)</f>
        <v>0</v>
      </c>
      <c r="H111" s="178">
        <f t="shared" si="4"/>
        <v>428975.94</v>
      </c>
    </row>
    <row r="112" spans="1:8">
      <c r="A112" s="119">
        <v>25</v>
      </c>
      <c r="B112" s="128" t="s">
        <v>291</v>
      </c>
      <c r="C112" s="128"/>
      <c r="D112" s="253">
        <v>0</v>
      </c>
      <c r="E112" s="180">
        <f>+E111</f>
        <v>428975.94</v>
      </c>
      <c r="F112" s="177">
        <v>0</v>
      </c>
      <c r="G112" s="545">
        <v>0</v>
      </c>
      <c r="H112" s="178">
        <f t="shared" si="4"/>
        <v>428975.94</v>
      </c>
    </row>
    <row r="113" spans="1:8">
      <c r="A113" s="119">
        <f>+A112+1</f>
        <v>26</v>
      </c>
      <c r="B113" s="128" t="s">
        <v>292</v>
      </c>
      <c r="C113" s="128"/>
      <c r="D113" s="253">
        <f>SUM(D112)-SUM(D111)</f>
        <v>0</v>
      </c>
      <c r="E113" s="180">
        <f>SUM(E112)-SUM(E111)</f>
        <v>0</v>
      </c>
      <c r="F113" s="191">
        <f>SUM(F112)-SUM(F111)</f>
        <v>0</v>
      </c>
      <c r="G113" s="545">
        <f>SUM(G112)-SUM(G111)</f>
        <v>0</v>
      </c>
      <c r="H113" s="178">
        <f t="shared" si="4"/>
        <v>0</v>
      </c>
    </row>
    <row r="114" spans="1:8" ht="15.75" thickBot="1">
      <c r="A114" s="288">
        <f>+A113+1</f>
        <v>27</v>
      </c>
      <c r="B114" s="289" t="s">
        <v>293</v>
      </c>
      <c r="C114" s="289"/>
      <c r="D114" s="252">
        <v>0</v>
      </c>
      <c r="E114" s="248">
        <v>-5509.23</v>
      </c>
      <c r="F114" s="190">
        <v>0</v>
      </c>
      <c r="G114" s="248"/>
      <c r="H114" s="212">
        <f>SUM(D114:F114)</f>
        <v>-5509.23</v>
      </c>
    </row>
    <row r="115" spans="1:8" ht="16.5" thickBot="1">
      <c r="A115" s="119">
        <f>+A114+1</f>
        <v>28</v>
      </c>
      <c r="B115" s="158" t="s">
        <v>294</v>
      </c>
      <c r="C115" s="158"/>
      <c r="D115" s="254">
        <f>SUM(D111,D113:D114)</f>
        <v>0</v>
      </c>
      <c r="E115" s="255">
        <f>SUM(E111,E113:E114)</f>
        <v>423466.71</v>
      </c>
      <c r="F115" s="192">
        <f>SUM(F111,F113:F114)</f>
        <v>0</v>
      </c>
      <c r="G115" s="546">
        <f>SUM(G111,G113:G114)</f>
        <v>0</v>
      </c>
      <c r="H115" s="193">
        <f>SUM(D115:G115)</f>
        <v>423466.71</v>
      </c>
    </row>
    <row r="116" spans="1:8" ht="15.75" thickTop="1">
      <c r="A116" s="119"/>
      <c r="B116" s="128"/>
      <c r="C116" s="128"/>
      <c r="D116" s="236"/>
      <c r="E116" s="236"/>
      <c r="F116" s="168"/>
      <c r="G116" s="236"/>
      <c r="H116" s="168"/>
    </row>
    <row r="117" spans="1:8" ht="16.5" thickBot="1">
      <c r="A117" s="119"/>
      <c r="B117" s="146" t="s">
        <v>295</v>
      </c>
      <c r="C117" s="146"/>
      <c r="D117" s="236"/>
      <c r="E117" s="236"/>
      <c r="F117" s="168"/>
      <c r="G117" s="236"/>
      <c r="H117" s="168"/>
    </row>
    <row r="118" spans="1:8" ht="15.75" thickTop="1">
      <c r="A118" s="119">
        <f>+A115+1</f>
        <v>29</v>
      </c>
      <c r="B118" s="128" t="s">
        <v>296</v>
      </c>
      <c r="C118" s="128"/>
      <c r="D118" s="256"/>
      <c r="E118" s="257"/>
      <c r="F118" s="194"/>
      <c r="G118" s="547">
        <v>0</v>
      </c>
      <c r="H118" s="195">
        <f>G118</f>
        <v>0</v>
      </c>
    </row>
    <row r="119" spans="1:8">
      <c r="A119" s="119">
        <f t="shared" ref="A119:A127" si="5">+A118+1</f>
        <v>30</v>
      </c>
      <c r="B119" s="128" t="s">
        <v>297</v>
      </c>
      <c r="C119" s="128"/>
      <c r="D119" s="258"/>
      <c r="E119" s="259"/>
      <c r="F119" s="196"/>
      <c r="G119" s="180">
        <v>0</v>
      </c>
      <c r="H119" s="197">
        <f t="shared" ref="H119:H126" si="6">+G119</f>
        <v>0</v>
      </c>
    </row>
    <row r="120" spans="1:8">
      <c r="A120" s="119">
        <f t="shared" si="5"/>
        <v>31</v>
      </c>
      <c r="B120" s="128" t="s">
        <v>298</v>
      </c>
      <c r="C120" s="128"/>
      <c r="D120" s="258"/>
      <c r="E120" s="259"/>
      <c r="F120" s="196"/>
      <c r="G120" s="180">
        <v>0</v>
      </c>
      <c r="H120" s="197">
        <f t="shared" si="6"/>
        <v>0</v>
      </c>
    </row>
    <row r="121" spans="1:8">
      <c r="A121" s="119">
        <f t="shared" si="5"/>
        <v>32</v>
      </c>
      <c r="B121" s="128" t="s">
        <v>299</v>
      </c>
      <c r="C121" s="128"/>
      <c r="D121" s="258"/>
      <c r="E121" s="259"/>
      <c r="F121" s="196"/>
      <c r="G121" s="180">
        <v>0</v>
      </c>
      <c r="H121" s="197">
        <f t="shared" si="6"/>
        <v>0</v>
      </c>
    </row>
    <row r="122" spans="1:8">
      <c r="A122" s="119">
        <f t="shared" si="5"/>
        <v>33</v>
      </c>
      <c r="B122" s="128"/>
      <c r="C122" s="128"/>
      <c r="D122" s="258"/>
      <c r="E122" s="259"/>
      <c r="F122" s="196"/>
      <c r="G122" s="180"/>
      <c r="H122" s="219"/>
    </row>
    <row r="123" spans="1:8">
      <c r="A123" s="119">
        <f t="shared" si="5"/>
        <v>34</v>
      </c>
      <c r="B123" s="128" t="s">
        <v>300</v>
      </c>
      <c r="C123" s="128"/>
      <c r="D123" s="258"/>
      <c r="E123" s="259"/>
      <c r="F123" s="196"/>
      <c r="G123" s="180">
        <v>0</v>
      </c>
      <c r="H123" s="197">
        <f t="shared" si="6"/>
        <v>0</v>
      </c>
    </row>
    <row r="124" spans="1:8">
      <c r="A124" s="119">
        <f t="shared" si="5"/>
        <v>35</v>
      </c>
      <c r="B124" s="128" t="s">
        <v>301</v>
      </c>
      <c r="C124" s="128"/>
      <c r="D124" s="258"/>
      <c r="E124" s="259"/>
      <c r="F124" s="196"/>
      <c r="G124" s="180">
        <v>0</v>
      </c>
      <c r="H124" s="197">
        <f t="shared" si="6"/>
        <v>0</v>
      </c>
    </row>
    <row r="125" spans="1:8">
      <c r="A125" s="119">
        <f t="shared" si="5"/>
        <v>36</v>
      </c>
      <c r="B125" s="128" t="s">
        <v>302</v>
      </c>
      <c r="C125" s="128"/>
      <c r="D125" s="258"/>
      <c r="E125" s="259"/>
      <c r="F125" s="196"/>
      <c r="G125" s="180">
        <v>0</v>
      </c>
      <c r="H125" s="197">
        <f t="shared" si="6"/>
        <v>0</v>
      </c>
    </row>
    <row r="126" spans="1:8" ht="34.5" customHeight="1" thickBot="1">
      <c r="A126" s="198">
        <f t="shared" si="5"/>
        <v>37</v>
      </c>
      <c r="B126" s="1078" t="s">
        <v>303</v>
      </c>
      <c r="C126" s="1079"/>
      <c r="D126" s="260"/>
      <c r="E126" s="261"/>
      <c r="F126" s="199"/>
      <c r="G126" s="548">
        <v>0</v>
      </c>
      <c r="H126" s="200">
        <f t="shared" si="6"/>
        <v>0</v>
      </c>
    </row>
    <row r="127" spans="1:8" ht="17.25" thickTop="1" thickBot="1">
      <c r="A127" s="119">
        <f t="shared" si="5"/>
        <v>38</v>
      </c>
      <c r="B127" s="158" t="s">
        <v>304</v>
      </c>
      <c r="C127" s="158"/>
      <c r="D127" s="262"/>
      <c r="E127" s="263"/>
      <c r="F127" s="201"/>
      <c r="G127" s="265">
        <f>SUM(G118:G126)</f>
        <v>0</v>
      </c>
      <c r="H127" s="202">
        <f>SUM(H118:H126)</f>
        <v>0</v>
      </c>
    </row>
    <row r="128" spans="1:8" ht="16.5" thickTop="1" thickBot="1">
      <c r="A128" s="119"/>
      <c r="B128" s="128"/>
      <c r="C128" s="128"/>
      <c r="D128" s="264"/>
      <c r="E128" s="264"/>
      <c r="F128" s="203"/>
      <c r="G128" s="264"/>
      <c r="H128" s="203"/>
    </row>
    <row r="129" spans="1:8" ht="17.25" thickTop="1" thickBot="1">
      <c r="A129" s="119">
        <f>+A127+1</f>
        <v>39</v>
      </c>
      <c r="B129" s="158" t="s">
        <v>305</v>
      </c>
      <c r="C129" s="158"/>
      <c r="D129" s="265">
        <f>D115</f>
        <v>0</v>
      </c>
      <c r="E129" s="266">
        <f>E115</f>
        <v>423466.71</v>
      </c>
      <c r="F129" s="204">
        <f>F115</f>
        <v>0</v>
      </c>
      <c r="G129" s="266">
        <f>G115+G127</f>
        <v>0</v>
      </c>
      <c r="H129" s="202">
        <f>H115+H127</f>
        <v>423466.71</v>
      </c>
    </row>
    <row r="130" spans="1:8" ht="16.5" thickTop="1" thickBot="1">
      <c r="A130" s="119">
        <f>+A129+1</f>
        <v>40</v>
      </c>
      <c r="B130" s="205" t="s">
        <v>306</v>
      </c>
      <c r="C130" s="205"/>
      <c r="D130" s="267"/>
      <c r="E130" s="268"/>
      <c r="F130" s="206"/>
      <c r="G130" s="268"/>
      <c r="H130" s="207">
        <v>0</v>
      </c>
    </row>
    <row r="131" spans="1:8" ht="15.75" thickTop="1">
      <c r="A131" s="119"/>
      <c r="B131" s="119"/>
      <c r="C131" s="119"/>
      <c r="D131" s="119"/>
      <c r="E131" s="122"/>
      <c r="F131" s="119"/>
      <c r="G131" s="269"/>
      <c r="H131" s="119"/>
    </row>
    <row r="132" spans="1:8">
      <c r="A132" s="128" t="s">
        <v>307</v>
      </c>
      <c r="B132" s="128"/>
      <c r="C132" s="128"/>
      <c r="D132" s="128"/>
      <c r="E132" s="143"/>
      <c r="F132" s="128"/>
      <c r="G132" s="128"/>
      <c r="H132" s="128"/>
    </row>
    <row r="133" spans="1:8" ht="15.75">
      <c r="A133" s="119" t="s">
        <v>308</v>
      </c>
      <c r="B133" s="128"/>
      <c r="C133" s="128"/>
      <c r="D133" s="128"/>
      <c r="E133" s="143"/>
      <c r="F133" s="128"/>
      <c r="G133" s="128"/>
      <c r="H133" s="128"/>
    </row>
    <row r="134" spans="1:8">
      <c r="A134" s="128" t="s">
        <v>309</v>
      </c>
      <c r="B134" s="128"/>
      <c r="C134" s="128"/>
      <c r="D134" s="128"/>
      <c r="E134" s="143"/>
      <c r="F134" s="128"/>
      <c r="G134" s="128"/>
      <c r="H134" s="128"/>
    </row>
    <row r="135" spans="1:8">
      <c r="A135" s="128" t="s">
        <v>310</v>
      </c>
      <c r="B135" s="128"/>
      <c r="C135" s="128"/>
      <c r="D135" s="128"/>
      <c r="E135" s="143"/>
      <c r="F135" s="128"/>
      <c r="G135" s="128"/>
      <c r="H135" s="128"/>
    </row>
    <row r="138" spans="1:8">
      <c r="B138" s="2" t="s">
        <v>321</v>
      </c>
    </row>
    <row r="139" spans="1:8">
      <c r="B139" s="17" t="s">
        <v>312</v>
      </c>
      <c r="C139" s="17"/>
      <c r="D139" s="100"/>
      <c r="E139" s="100"/>
      <c r="F139" s="100"/>
      <c r="G139" s="100"/>
      <c r="H139" s="100"/>
    </row>
    <row r="140" spans="1:8">
      <c r="B140" s="17" t="s">
        <v>313</v>
      </c>
      <c r="C140" s="17"/>
      <c r="E140" s="100"/>
      <c r="F140" s="100"/>
      <c r="G140" s="100"/>
      <c r="H140" s="100"/>
    </row>
    <row r="141" spans="1:8">
      <c r="B141" s="17"/>
      <c r="C141" s="2"/>
    </row>
    <row r="142" spans="1:8">
      <c r="B142" s="2"/>
      <c r="C142" s="2"/>
    </row>
  </sheetData>
  <mergeCells count="2">
    <mergeCell ref="B57:C57"/>
    <mergeCell ref="B126:C126"/>
  </mergeCells>
  <pageMargins left="1.2" right="0.2" top="0.5" bottom="0.5" header="0.3" footer="0.3"/>
  <pageSetup scale="3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33"/>
    <pageSetUpPr fitToPage="1"/>
  </sheetPr>
  <dimension ref="A1:XFD676"/>
  <sheetViews>
    <sheetView zoomScaleNormal="100" workbookViewId="0">
      <selection sqref="A1:E1"/>
    </sheetView>
  </sheetViews>
  <sheetFormatPr defaultColWidth="8.88671875" defaultRowHeight="12.75"/>
  <cols>
    <col min="1" max="1" width="32.77734375" style="3" bestFit="1" customWidth="1"/>
    <col min="2" max="2" width="9.88671875" style="2" bestFit="1" customWidth="1"/>
    <col min="3" max="3" width="30.88671875" style="5" bestFit="1" customWidth="1"/>
    <col min="4" max="4" width="9.6640625" style="64" customWidth="1"/>
    <col min="5" max="5" width="30.77734375" style="64" bestFit="1" customWidth="1"/>
    <col min="6" max="6" width="3.44140625" style="2" customWidth="1"/>
    <col min="7" max="7" width="10.33203125" style="2" bestFit="1" customWidth="1"/>
    <col min="8" max="8" width="11.109375" style="344" customWidth="1"/>
    <col min="9" max="9" width="13" style="2" bestFit="1" customWidth="1"/>
    <col min="10" max="10" width="8.88671875" style="2" bestFit="1" customWidth="1"/>
    <col min="11" max="11" width="14.77734375" style="2" customWidth="1"/>
    <col min="12" max="12" width="8.88671875" style="2"/>
    <col min="13" max="13" width="10.88671875" style="2" customWidth="1"/>
    <col min="14" max="14" width="8.88671875" style="2" bestFit="1" customWidth="1"/>
    <col min="15" max="16384" width="8.88671875" style="2"/>
  </cols>
  <sheetData>
    <row r="1" spans="1:15" s="24" customFormat="1" ht="15">
      <c r="A1" s="1080" t="s">
        <v>20</v>
      </c>
      <c r="B1" s="1085"/>
      <c r="C1" s="1085"/>
      <c r="D1" s="1085"/>
      <c r="E1" s="1086"/>
      <c r="G1" s="45" t="s">
        <v>501</v>
      </c>
      <c r="H1" s="50" t="s">
        <v>20</v>
      </c>
      <c r="I1" s="63"/>
      <c r="J1" s="24" t="s">
        <v>624</v>
      </c>
      <c r="O1" s="340"/>
    </row>
    <row r="2" spans="1:15" s="24" customFormat="1" ht="15">
      <c r="A2" s="402"/>
      <c r="B2" s="601"/>
      <c r="C2" s="601"/>
      <c r="D2" s="420"/>
      <c r="E2" s="438"/>
      <c r="G2" s="570" t="s">
        <v>505</v>
      </c>
      <c r="H2" s="50">
        <v>7200</v>
      </c>
      <c r="J2" s="24" t="s">
        <v>625</v>
      </c>
      <c r="M2" s="43">
        <v>300</v>
      </c>
      <c r="O2" s="340"/>
    </row>
    <row r="3" spans="1:15" s="24" customFormat="1" ht="13.5" thickBot="1">
      <c r="A3" s="293" t="str">
        <f>+'YE Projections'!$G$3</f>
        <v>FY 23-24 Budget</v>
      </c>
      <c r="B3" s="101">
        <f>+'YE Projections'!G31</f>
        <v>7700</v>
      </c>
      <c r="C3" s="44" t="str">
        <f>+'YE Projections'!I3</f>
        <v>FY 24-25 Proposed</v>
      </c>
      <c r="D3" s="422">
        <f>SUM(D5:D7)</f>
        <v>8000</v>
      </c>
      <c r="E3" s="977">
        <f>SUM(D3-B3)/B3</f>
        <v>3.896103896103896E-2</v>
      </c>
      <c r="G3" s="570" t="s">
        <v>506</v>
      </c>
      <c r="H3" s="50">
        <v>7200</v>
      </c>
      <c r="J3" s="28" t="s">
        <v>626</v>
      </c>
      <c r="K3" s="28"/>
      <c r="L3" s="28"/>
      <c r="M3" s="22">
        <v>350</v>
      </c>
      <c r="O3" s="340"/>
    </row>
    <row r="4" spans="1:15" s="24" customFormat="1" ht="13.5" thickTop="1">
      <c r="A4" s="61"/>
      <c r="D4" s="93"/>
      <c r="E4" s="1019" t="s">
        <v>369</v>
      </c>
      <c r="G4" s="570" t="s">
        <v>507</v>
      </c>
      <c r="H4" s="50">
        <v>7200</v>
      </c>
      <c r="J4" s="24" t="s">
        <v>627</v>
      </c>
      <c r="O4" s="340"/>
    </row>
    <row r="5" spans="1:15" s="24" customFormat="1">
      <c r="A5" s="294" t="s">
        <v>112</v>
      </c>
      <c r="B5" s="43">
        <v>7700</v>
      </c>
      <c r="C5" s="44" t="s">
        <v>112</v>
      </c>
      <c r="D5" s="415">
        <v>7700</v>
      </c>
      <c r="E5" s="92" t="s">
        <v>227</v>
      </c>
      <c r="G5" s="570" t="s">
        <v>508</v>
      </c>
      <c r="H5" s="50">
        <v>7700</v>
      </c>
      <c r="J5" s="24" t="s">
        <v>628</v>
      </c>
      <c r="K5" s="639">
        <f>+'YE Projections'!C123+'YE Projections'!C107+'YE Projections'!C84</f>
        <v>668443.28999999992</v>
      </c>
      <c r="O5" s="340"/>
    </row>
    <row r="6" spans="1:15" s="24" customFormat="1">
      <c r="A6" s="295" t="s">
        <v>120</v>
      </c>
      <c r="B6" s="43">
        <v>200</v>
      </c>
      <c r="C6" s="44" t="s">
        <v>120</v>
      </c>
      <c r="D6" s="415">
        <v>300</v>
      </c>
      <c r="E6" s="92" t="s">
        <v>228</v>
      </c>
      <c r="G6" s="45" t="s">
        <v>509</v>
      </c>
      <c r="H6" s="22">
        <v>7700</v>
      </c>
      <c r="O6" s="340"/>
    </row>
    <row r="7" spans="1:15" s="24" customFormat="1" ht="13.5" thickBot="1">
      <c r="A7" s="294" t="str">
        <f>+'YE Projections'!$F$3</f>
        <v>6/30/2024 Projection</v>
      </c>
      <c r="B7" s="101">
        <f>SUM(B5:B6)</f>
        <v>7900</v>
      </c>
      <c r="C7" s="442"/>
      <c r="E7" s="66" t="s">
        <v>625</v>
      </c>
      <c r="G7" s="570" t="s">
        <v>599</v>
      </c>
      <c r="H7" s="50">
        <f>+B7</f>
        <v>7900</v>
      </c>
      <c r="O7" s="340"/>
    </row>
    <row r="8" spans="1:15" s="24" customFormat="1" ht="14.25" thickTop="1" thickBot="1">
      <c r="A8" s="592"/>
      <c r="B8" s="297"/>
      <c r="C8" s="593"/>
      <c r="D8" s="437"/>
      <c r="E8" s="97"/>
      <c r="G8" s="2" t="s">
        <v>668</v>
      </c>
      <c r="H8" s="22"/>
      <c r="O8" s="340"/>
    </row>
    <row r="9" spans="1:15" s="24" customFormat="1" ht="13.5" thickBot="1">
      <c r="A9" s="44"/>
      <c r="B9" s="43"/>
      <c r="C9" s="44"/>
      <c r="D9" s="415"/>
      <c r="E9" s="93"/>
      <c r="H9" s="22"/>
      <c r="O9" s="340"/>
    </row>
    <row r="10" spans="1:15" s="24" customFormat="1" ht="15">
      <c r="A10" s="1080" t="s">
        <v>21</v>
      </c>
      <c r="B10" s="1085"/>
      <c r="C10" s="1085"/>
      <c r="D10" s="1085"/>
      <c r="E10" s="1086"/>
      <c r="G10" s="45" t="s">
        <v>501</v>
      </c>
      <c r="H10" s="50" t="s">
        <v>21</v>
      </c>
      <c r="O10" s="340"/>
    </row>
    <row r="11" spans="1:15" s="24" customFormat="1">
      <c r="A11" s="61"/>
      <c r="D11" s="93"/>
      <c r="E11" s="438"/>
      <c r="G11" s="570" t="s">
        <v>505</v>
      </c>
      <c r="H11" s="50">
        <v>418.85</v>
      </c>
      <c r="O11" s="340"/>
    </row>
    <row r="12" spans="1:15" s="24" customFormat="1" ht="13.5" thickBot="1">
      <c r="A12" s="293" t="str">
        <f>+'YE Projections'!$G$3</f>
        <v>FY 23-24 Budget</v>
      </c>
      <c r="B12" s="101">
        <f>+'YE Projections'!G32</f>
        <v>6980</v>
      </c>
      <c r="C12" s="109" t="str">
        <f>+'YE Projections'!I3</f>
        <v>FY 24-25 Proposed</v>
      </c>
      <c r="D12" s="422">
        <f>SUM(D14:D21)</f>
        <v>6980</v>
      </c>
      <c r="E12" s="977">
        <f>SUM(D12-B12)/B12</f>
        <v>0</v>
      </c>
      <c r="G12" s="570" t="s">
        <v>506</v>
      </c>
      <c r="H12" s="50">
        <v>1422.51</v>
      </c>
      <c r="O12" s="340"/>
    </row>
    <row r="13" spans="1:15" s="24" customFormat="1" ht="13.5" thickTop="1">
      <c r="A13" s="61"/>
      <c r="D13" s="93"/>
      <c r="E13" s="92"/>
      <c r="G13" s="570" t="s">
        <v>507</v>
      </c>
      <c r="H13" s="50">
        <v>20.9</v>
      </c>
      <c r="I13" s="2" t="s">
        <v>504</v>
      </c>
      <c r="O13" s="340"/>
    </row>
    <row r="14" spans="1:15" s="24" customFormat="1">
      <c r="A14" s="295" t="s">
        <v>653</v>
      </c>
      <c r="B14" s="43">
        <f>12.67+17.65+28.67</f>
        <v>58.99</v>
      </c>
      <c r="C14" s="44" t="s">
        <v>496</v>
      </c>
      <c r="D14" s="415">
        <f>280*6</f>
        <v>1680</v>
      </c>
      <c r="E14" s="92" t="s">
        <v>718</v>
      </c>
      <c r="G14" s="570" t="s">
        <v>508</v>
      </c>
      <c r="H14" s="50">
        <v>279.25</v>
      </c>
      <c r="O14" s="340"/>
    </row>
    <row r="15" spans="1:15" s="24" customFormat="1">
      <c r="A15" s="295" t="s">
        <v>710</v>
      </c>
      <c r="B15" s="43">
        <f>307.13+921.38</f>
        <v>1228.51</v>
      </c>
      <c r="C15" s="44" t="s">
        <v>230</v>
      </c>
      <c r="D15" s="415">
        <f>15*190</f>
        <v>2850</v>
      </c>
      <c r="E15" s="92" t="s">
        <v>497</v>
      </c>
      <c r="G15" s="45" t="s">
        <v>509</v>
      </c>
      <c r="H15" s="22">
        <v>1804.74</v>
      </c>
      <c r="O15" s="340"/>
    </row>
    <row r="16" spans="1:15" s="24" customFormat="1">
      <c r="A16" s="295" t="s">
        <v>496</v>
      </c>
      <c r="B16" s="43">
        <f>280</f>
        <v>280</v>
      </c>
      <c r="C16" s="44" t="s">
        <v>231</v>
      </c>
      <c r="D16" s="415">
        <f>1500*0.6</f>
        <v>900</v>
      </c>
      <c r="E16" s="92" t="s">
        <v>498</v>
      </c>
      <c r="G16" s="570" t="s">
        <v>599</v>
      </c>
      <c r="H16" s="50">
        <f>+B18</f>
        <v>1759.5</v>
      </c>
      <c r="O16" s="340"/>
    </row>
    <row r="17" spans="1:15" s="24" customFormat="1">
      <c r="A17" s="295" t="s">
        <v>736</v>
      </c>
      <c r="B17" s="43">
        <v>192</v>
      </c>
      <c r="D17" s="415">
        <f>5*50</f>
        <v>250</v>
      </c>
      <c r="E17" s="320" t="s">
        <v>232</v>
      </c>
      <c r="H17" s="22"/>
      <c r="O17" s="340"/>
    </row>
    <row r="18" spans="1:15" s="24" customFormat="1" ht="13.5" thickBot="1">
      <c r="A18" s="294" t="s">
        <v>218</v>
      </c>
      <c r="B18" s="101">
        <f>SUM(B14:B17)</f>
        <v>1759.5</v>
      </c>
      <c r="D18" s="415">
        <v>300</v>
      </c>
      <c r="E18" s="320" t="s">
        <v>519</v>
      </c>
      <c r="G18" s="24" t="s">
        <v>670</v>
      </c>
      <c r="O18" s="340"/>
    </row>
    <row r="19" spans="1:15" s="24" customFormat="1" ht="13.5" thickTop="1">
      <c r="A19" s="61"/>
      <c r="B19" s="302"/>
      <c r="C19" s="44" t="s">
        <v>172</v>
      </c>
      <c r="D19" s="415">
        <v>1000</v>
      </c>
      <c r="E19" s="92"/>
      <c r="H19" s="22"/>
      <c r="O19" s="340"/>
    </row>
    <row r="20" spans="1:15" s="24" customFormat="1">
      <c r="A20" s="295" t="s">
        <v>407</v>
      </c>
      <c r="B20" s="43">
        <v>650</v>
      </c>
      <c r="E20" s="66"/>
      <c r="H20" s="22"/>
      <c r="O20" s="340"/>
    </row>
    <row r="21" spans="1:15" s="24" customFormat="1" ht="13.5" thickBot="1">
      <c r="A21" s="294" t="str">
        <f>+'YE Projections'!$F$3</f>
        <v>6/30/2024 Projection</v>
      </c>
      <c r="B21" s="101">
        <f>+B18+B20</f>
        <v>2409.5</v>
      </c>
      <c r="C21" s="527"/>
      <c r="D21" s="415"/>
      <c r="E21" s="92"/>
      <c r="H21" s="22"/>
      <c r="O21" s="340"/>
    </row>
    <row r="22" spans="1:15" s="24" customFormat="1" ht="14.25" thickTop="1" thickBot="1">
      <c r="A22" s="300"/>
      <c r="B22" s="301"/>
      <c r="C22" s="301"/>
      <c r="D22" s="426"/>
      <c r="E22" s="97"/>
      <c r="H22" s="22"/>
      <c r="O22" s="340"/>
    </row>
    <row r="23" spans="1:15" ht="13.5" thickBot="1">
      <c r="A23" s="2"/>
      <c r="C23" s="43"/>
      <c r="D23" s="415"/>
      <c r="E23" s="93"/>
      <c r="I23" s="17"/>
      <c r="J23" s="17"/>
      <c r="O23" s="532"/>
    </row>
    <row r="24" spans="1:15" ht="15">
      <c r="A24" s="1080" t="s">
        <v>22</v>
      </c>
      <c r="B24" s="1085"/>
      <c r="C24" s="1085"/>
      <c r="D24" s="1085"/>
      <c r="E24" s="1086"/>
      <c r="G24" s="45" t="s">
        <v>501</v>
      </c>
      <c r="H24" s="50" t="s">
        <v>22</v>
      </c>
      <c r="I24" s="17"/>
      <c r="J24" s="17"/>
      <c r="O24" s="532"/>
    </row>
    <row r="25" spans="1:15">
      <c r="A25" s="61"/>
      <c r="B25" s="24"/>
      <c r="C25" s="24"/>
      <c r="D25" s="93"/>
      <c r="E25" s="438"/>
      <c r="G25" s="570" t="s">
        <v>505</v>
      </c>
      <c r="H25" s="50">
        <v>29436.48</v>
      </c>
      <c r="I25" s="17" t="s">
        <v>671</v>
      </c>
      <c r="J25" s="17"/>
      <c r="O25" s="532"/>
    </row>
    <row r="26" spans="1:15" ht="13.5" thickBot="1">
      <c r="A26" s="293" t="str">
        <f>+'YE Projections'!$G$3</f>
        <v>FY 23-24 Budget</v>
      </c>
      <c r="B26" s="111">
        <f>+'YE Projections'!G33</f>
        <v>30000</v>
      </c>
      <c r="C26" s="44" t="str">
        <f>+$C$3</f>
        <v>FY 24-25 Proposed</v>
      </c>
      <c r="D26" s="434">
        <f>SUM(D28:D36)</f>
        <v>30000</v>
      </c>
      <c r="E26" s="977">
        <f>SUM(D26-B26)/B26</f>
        <v>0</v>
      </c>
      <c r="G26" s="570" t="s">
        <v>506</v>
      </c>
      <c r="H26" s="50">
        <v>23538.58</v>
      </c>
      <c r="I26" s="652">
        <f>SUM(H26-H25)/H26</f>
        <v>-0.25056311808103959</v>
      </c>
      <c r="J26" s="17" t="s">
        <v>504</v>
      </c>
      <c r="O26" s="532"/>
    </row>
    <row r="27" spans="1:15" ht="13.5" thickTop="1">
      <c r="A27" s="61"/>
      <c r="B27" s="24"/>
      <c r="C27" s="43"/>
      <c r="D27" s="93"/>
      <c r="E27" s="92"/>
      <c r="G27" s="570" t="s">
        <v>507</v>
      </c>
      <c r="H27" s="50">
        <v>25054.55</v>
      </c>
      <c r="I27" s="652">
        <f t="shared" ref="I27:I29" si="0">SUM(H27-H26)/H27</f>
        <v>6.0506774218654795E-2</v>
      </c>
      <c r="J27" s="17"/>
      <c r="O27" s="532"/>
    </row>
    <row r="28" spans="1:15">
      <c r="A28" s="295" t="s">
        <v>325</v>
      </c>
      <c r="B28" s="43">
        <f>38.94+10.99+40.98+12.97+27</f>
        <v>130.88</v>
      </c>
      <c r="C28" s="44"/>
      <c r="D28" s="415">
        <f>2400*12</f>
        <v>28800</v>
      </c>
      <c r="E28" s="92" t="s">
        <v>1009</v>
      </c>
      <c r="G28" s="570" t="s">
        <v>508</v>
      </c>
      <c r="H28" s="50">
        <v>30131.22</v>
      </c>
      <c r="I28" s="652">
        <f t="shared" si="0"/>
        <v>0.16848537828869861</v>
      </c>
      <c r="J28" s="17"/>
      <c r="O28" s="532"/>
    </row>
    <row r="29" spans="1:15">
      <c r="A29" s="295" t="s">
        <v>323</v>
      </c>
      <c r="B29" s="43"/>
      <c r="C29" s="44"/>
      <c r="D29" s="415">
        <f>50*12</f>
        <v>600</v>
      </c>
      <c r="E29" s="92" t="s">
        <v>1010</v>
      </c>
      <c r="G29" s="2" t="s">
        <v>509</v>
      </c>
      <c r="H29" s="344">
        <v>28904.32</v>
      </c>
      <c r="I29" s="652">
        <f t="shared" si="0"/>
        <v>-4.2446942187188676E-2</v>
      </c>
      <c r="J29" s="17"/>
      <c r="O29" s="532"/>
    </row>
    <row r="30" spans="1:15">
      <c r="A30" s="295" t="s">
        <v>324</v>
      </c>
      <c r="B30" s="43">
        <f>706.95+2294.3+2975.47+2470.66+2246.1+2765.03+1809+2378.98+2410.94+3841.07</f>
        <v>23898.5</v>
      </c>
      <c r="C30" s="44"/>
      <c r="D30" s="415">
        <v>600</v>
      </c>
      <c r="E30" s="92" t="s">
        <v>1011</v>
      </c>
      <c r="G30" s="45" t="s">
        <v>587</v>
      </c>
      <c r="H30" s="22">
        <f>AVERAGE(H25:H29)</f>
        <v>27413.03</v>
      </c>
      <c r="I30" s="17"/>
      <c r="J30" s="17"/>
      <c r="O30" s="532"/>
    </row>
    <row r="31" spans="1:15">
      <c r="A31" s="295" t="s">
        <v>326</v>
      </c>
      <c r="B31" s="43">
        <f>32.9</f>
        <v>32.9</v>
      </c>
      <c r="C31" s="44"/>
      <c r="D31" s="415"/>
      <c r="E31" s="92"/>
      <c r="G31" s="24"/>
      <c r="H31" s="22"/>
      <c r="I31" s="17"/>
      <c r="J31" s="17"/>
      <c r="O31" s="532"/>
    </row>
    <row r="32" spans="1:15">
      <c r="A32" s="295" t="s">
        <v>711</v>
      </c>
      <c r="B32" s="43">
        <v>95.77</v>
      </c>
      <c r="C32" s="44"/>
      <c r="D32" s="415"/>
      <c r="E32" s="92"/>
      <c r="G32" s="570" t="s">
        <v>599</v>
      </c>
      <c r="H32" s="50">
        <f>+B33</f>
        <v>24158.050000000003</v>
      </c>
      <c r="I32" s="655">
        <f>SUM(H32-H29)/H32</f>
        <v>-0.19646743011128781</v>
      </c>
      <c r="J32" s="17"/>
      <c r="O32" s="532"/>
    </row>
    <row r="33" spans="1:15" ht="13.5" thickBot="1">
      <c r="A33" s="295" t="s">
        <v>218</v>
      </c>
      <c r="B33" s="101">
        <f>SUM(B28:B32)</f>
        <v>24158.050000000003</v>
      </c>
      <c r="C33" s="67"/>
      <c r="D33" s="415"/>
      <c r="E33" s="92"/>
      <c r="G33" s="568"/>
      <c r="H33" s="50"/>
      <c r="I33" s="607"/>
      <c r="J33" s="607"/>
      <c r="K33" s="4"/>
      <c r="L33" s="569"/>
      <c r="M33" s="24"/>
      <c r="N33" s="4"/>
      <c r="O33" s="532"/>
    </row>
    <row r="34" spans="1:15" ht="13.5" thickTop="1">
      <c r="A34" s="61"/>
      <c r="B34" s="302"/>
      <c r="C34" s="44"/>
      <c r="D34" s="415"/>
      <c r="E34" s="92"/>
      <c r="G34" s="568"/>
      <c r="H34" s="50"/>
      <c r="I34" s="607"/>
      <c r="J34" s="607"/>
      <c r="K34" s="4"/>
      <c r="L34" s="569"/>
      <c r="M34" s="24"/>
      <c r="N34" s="4"/>
      <c r="O34" s="532"/>
    </row>
    <row r="35" spans="1:15">
      <c r="A35" s="295" t="s">
        <v>407</v>
      </c>
      <c r="B35" s="22">
        <f>2500*3</f>
        <v>7500</v>
      </c>
      <c r="C35" s="44"/>
      <c r="D35" s="415"/>
      <c r="E35" s="92"/>
      <c r="G35" s="568"/>
      <c r="H35" s="50"/>
      <c r="I35" s="607"/>
      <c r="J35" s="607"/>
      <c r="K35" s="4"/>
      <c r="L35" s="569"/>
      <c r="M35" s="24"/>
      <c r="N35" s="4"/>
      <c r="O35" s="532"/>
    </row>
    <row r="36" spans="1:15" ht="13.5" thickBot="1">
      <c r="A36" s="294" t="str">
        <f>+'YE Projections'!$F$3</f>
        <v>6/30/2024 Projection</v>
      </c>
      <c r="B36" s="111">
        <f>+B33+B35</f>
        <v>31658.050000000003</v>
      </c>
      <c r="C36" s="44"/>
      <c r="D36" s="415"/>
      <c r="E36" s="92"/>
      <c r="I36" s="17"/>
      <c r="J36" s="17"/>
      <c r="O36" s="532"/>
    </row>
    <row r="37" spans="1:15" ht="14.25" thickTop="1" thickBot="1">
      <c r="A37" s="300"/>
      <c r="B37" s="301"/>
      <c r="C37" s="298"/>
      <c r="D37" s="437"/>
      <c r="E37" s="97"/>
      <c r="I37" s="17"/>
      <c r="J37" s="17"/>
    </row>
    <row r="38" spans="1:15" ht="13.5" thickBot="1">
      <c r="A38" s="2"/>
      <c r="C38" s="44"/>
      <c r="D38" s="415"/>
      <c r="E38" s="93"/>
      <c r="I38" s="17"/>
      <c r="J38" s="17"/>
    </row>
    <row r="39" spans="1:15" ht="15">
      <c r="A39" s="1080" t="s">
        <v>23</v>
      </c>
      <c r="B39" s="1085"/>
      <c r="C39" s="1085"/>
      <c r="D39" s="1085"/>
      <c r="E39" s="1086"/>
      <c r="G39" s="45" t="s">
        <v>501</v>
      </c>
      <c r="H39" s="50" t="s">
        <v>23</v>
      </c>
      <c r="I39" s="17"/>
      <c r="J39" s="17"/>
    </row>
    <row r="40" spans="1:15">
      <c r="A40" s="61"/>
      <c r="B40" s="24"/>
      <c r="C40" s="24"/>
      <c r="D40" s="93"/>
      <c r="E40" s="438"/>
      <c r="G40" s="570" t="s">
        <v>505</v>
      </c>
      <c r="H40" s="50">
        <v>10875.14</v>
      </c>
      <c r="I40" s="17" t="s">
        <v>671</v>
      </c>
      <c r="J40" s="17"/>
    </row>
    <row r="41" spans="1:15" ht="13.5" thickBot="1">
      <c r="A41" s="293" t="str">
        <f>+'YE Projections'!$G$3</f>
        <v>FY 23-24 Budget</v>
      </c>
      <c r="B41" s="111">
        <f>+'YE Projections'!G34</f>
        <v>18000</v>
      </c>
      <c r="C41" s="44" t="str">
        <f>+C26</f>
        <v>FY 24-25 Proposed</v>
      </c>
      <c r="D41" s="434">
        <f>SUM(D43:D52)</f>
        <v>18000</v>
      </c>
      <c r="E41" s="977">
        <f>SUM(D41-B41)/B41</f>
        <v>0</v>
      </c>
      <c r="G41" s="570" t="s">
        <v>506</v>
      </c>
      <c r="H41" s="50">
        <v>9821.73</v>
      </c>
      <c r="I41" s="652">
        <f>SUM(H41-H40)/H41</f>
        <v>-0.10725299921704221</v>
      </c>
      <c r="J41" s="17" t="s">
        <v>504</v>
      </c>
    </row>
    <row r="42" spans="1:15" ht="13.5" thickTop="1">
      <c r="A42" s="61"/>
      <c r="B42" s="24"/>
      <c r="C42" s="43"/>
      <c r="D42" s="93"/>
      <c r="E42" s="92"/>
      <c r="G42" s="570" t="s">
        <v>507</v>
      </c>
      <c r="H42" s="50">
        <v>12223.39</v>
      </c>
      <c r="I42" s="652">
        <f t="shared" ref="I42:I44" si="1">SUM(H42-H41)/H42</f>
        <v>0.19648068170941121</v>
      </c>
      <c r="J42" s="17"/>
    </row>
    <row r="43" spans="1:15">
      <c r="A43" s="295" t="s">
        <v>1025</v>
      </c>
      <c r="B43" s="43">
        <f>58.87+20.66+47.18+260.77</f>
        <v>387.48</v>
      </c>
      <c r="C43" s="112"/>
      <c r="D43" s="415">
        <f>60*12</f>
        <v>720</v>
      </c>
      <c r="E43" s="92" t="s">
        <v>1008</v>
      </c>
      <c r="G43" s="570" t="s">
        <v>508</v>
      </c>
      <c r="H43" s="50">
        <v>10079.77</v>
      </c>
      <c r="I43" s="652">
        <f t="shared" si="1"/>
        <v>-0.21266556677384493</v>
      </c>
      <c r="J43" s="17"/>
    </row>
    <row r="44" spans="1:15">
      <c r="A44" s="295" t="s">
        <v>324</v>
      </c>
      <c r="B44" s="43">
        <f>560.22+1299.4+95+2250.72+976.84+832.09+1358.25+1523.15+1861.27</f>
        <v>10756.94</v>
      </c>
      <c r="C44" s="44"/>
      <c r="D44" s="415">
        <v>15000</v>
      </c>
      <c r="E44" s="92" t="s">
        <v>171</v>
      </c>
      <c r="G44" s="45" t="s">
        <v>509</v>
      </c>
      <c r="H44" s="22">
        <v>14166.69</v>
      </c>
      <c r="I44" s="652">
        <f t="shared" si="1"/>
        <v>0.28848799543153691</v>
      </c>
      <c r="J44" s="17"/>
    </row>
    <row r="45" spans="1:15">
      <c r="A45" s="295" t="s">
        <v>123</v>
      </c>
      <c r="B45" s="43">
        <v>1624.96</v>
      </c>
      <c r="C45" s="44"/>
      <c r="D45" s="415">
        <v>1800</v>
      </c>
      <c r="E45" s="92" t="s">
        <v>123</v>
      </c>
      <c r="G45" s="45" t="s">
        <v>587</v>
      </c>
      <c r="H45" s="22">
        <f>AVERAGE(H40:H44)</f>
        <v>11433.344000000001</v>
      </c>
      <c r="I45" s="17"/>
      <c r="J45" s="17"/>
    </row>
    <row r="46" spans="1:15">
      <c r="A46" s="295" t="s">
        <v>1026</v>
      </c>
      <c r="B46" s="43">
        <f>91.12+76.7+28.34</f>
        <v>196.16</v>
      </c>
      <c r="C46" s="44"/>
      <c r="D46" s="415">
        <v>480</v>
      </c>
      <c r="E46" s="92" t="s">
        <v>172</v>
      </c>
      <c r="G46" s="24"/>
      <c r="H46" s="22"/>
      <c r="I46" s="17"/>
      <c r="J46" s="17"/>
    </row>
    <row r="47" spans="1:15" ht="13.5" thickBot="1">
      <c r="A47" s="295" t="s">
        <v>218</v>
      </c>
      <c r="B47" s="101">
        <f>SUM(B43:B46)</f>
        <v>12965.54</v>
      </c>
      <c r="C47" s="32"/>
      <c r="D47" s="24"/>
      <c r="E47" s="92"/>
      <c r="G47" s="570" t="s">
        <v>599</v>
      </c>
      <c r="H47" s="50">
        <f>+B47</f>
        <v>12965.54</v>
      </c>
      <c r="I47" s="655">
        <f>SUM(H47-H44)/H47</f>
        <v>-9.2641725682077222E-2</v>
      </c>
      <c r="J47" s="17"/>
    </row>
    <row r="48" spans="1:15" ht="13.5" thickTop="1">
      <c r="A48" s="594"/>
      <c r="B48" s="24"/>
      <c r="C48" s="527"/>
      <c r="D48" s="93"/>
      <c r="E48" s="92"/>
      <c r="I48" s="17"/>
      <c r="J48" s="17"/>
    </row>
    <row r="49" spans="1:10">
      <c r="A49" s="594" t="s">
        <v>407</v>
      </c>
      <c r="B49" s="43"/>
      <c r="C49" s="24"/>
      <c r="D49" s="93"/>
      <c r="E49" s="92"/>
      <c r="I49" s="17"/>
      <c r="J49" s="17"/>
    </row>
    <row r="50" spans="1:10">
      <c r="A50" s="295" t="s">
        <v>1025</v>
      </c>
      <c r="B50" s="43">
        <f>+B43*'YE Projections'!A2</f>
        <v>64.58</v>
      </c>
      <c r="C50" s="24"/>
      <c r="D50" s="93"/>
      <c r="E50" s="92"/>
      <c r="I50" s="17"/>
      <c r="J50" s="17"/>
    </row>
    <row r="51" spans="1:10">
      <c r="A51" s="295" t="s">
        <v>324</v>
      </c>
      <c r="B51" s="43">
        <f>1500*3</f>
        <v>4500</v>
      </c>
      <c r="C51" s="24"/>
      <c r="D51" s="93"/>
      <c r="E51" s="92"/>
      <c r="I51" s="17"/>
      <c r="J51" s="17"/>
    </row>
    <row r="52" spans="1:10" ht="13.5" thickBot="1">
      <c r="A52" s="443" t="str">
        <f>+'YE Projections'!$F$3</f>
        <v>6/30/2024 Projection</v>
      </c>
      <c r="B52" s="111">
        <f>SUM(B47:B51)</f>
        <v>17530.120000000003</v>
      </c>
      <c r="C52" s="24"/>
      <c r="D52" s="93"/>
      <c r="E52" s="92"/>
      <c r="I52" s="17"/>
      <c r="J52" s="17"/>
    </row>
    <row r="53" spans="1:10" ht="14.25" thickTop="1" thickBot="1">
      <c r="A53" s="300"/>
      <c r="B53" s="301"/>
      <c r="C53" s="301"/>
      <c r="D53" s="426"/>
      <c r="E53" s="97"/>
      <c r="I53" s="17"/>
      <c r="J53" s="17"/>
    </row>
    <row r="54" spans="1:10" ht="13.5" thickBot="1">
      <c r="A54" s="2"/>
      <c r="C54" s="2"/>
      <c r="I54" s="17"/>
      <c r="J54" s="17"/>
    </row>
    <row r="55" spans="1:10" ht="15">
      <c r="A55" s="1080" t="s">
        <v>24</v>
      </c>
      <c r="B55" s="1085"/>
      <c r="C55" s="1085"/>
      <c r="D55" s="1085"/>
      <c r="E55" s="1086"/>
      <c r="G55" s="45" t="s">
        <v>501</v>
      </c>
      <c r="H55" s="50" t="s">
        <v>24</v>
      </c>
      <c r="I55" s="17"/>
      <c r="J55" s="17"/>
    </row>
    <row r="56" spans="1:10">
      <c r="A56" s="61"/>
      <c r="B56" s="24"/>
      <c r="C56" s="24"/>
      <c r="D56" s="93"/>
      <c r="E56" s="438"/>
      <c r="G56" s="570" t="s">
        <v>505</v>
      </c>
      <c r="H56" s="50">
        <v>6845.72</v>
      </c>
      <c r="I56" s="17" t="s">
        <v>671</v>
      </c>
      <c r="J56" s="17"/>
    </row>
    <row r="57" spans="1:10" ht="13.5" thickBot="1">
      <c r="A57" s="293" t="str">
        <f>+'YE Projections'!$G$3</f>
        <v>FY 23-24 Budget</v>
      </c>
      <c r="B57" s="111">
        <f>+'YE Projections'!G35</f>
        <v>6500</v>
      </c>
      <c r="C57" s="67" t="str">
        <f>+'YE Projections'!I3</f>
        <v>FY 24-25 Proposed</v>
      </c>
      <c r="D57" s="439">
        <f>SUM(D59:D65)</f>
        <v>6500</v>
      </c>
      <c r="E57" s="977">
        <f>SUM(D57-B57)/B57</f>
        <v>0</v>
      </c>
      <c r="G57" s="570" t="s">
        <v>506</v>
      </c>
      <c r="H57" s="50">
        <v>7322.2</v>
      </c>
      <c r="I57" s="652">
        <f>SUM(H57-H56)/H57</f>
        <v>6.5073338614077672E-2</v>
      </c>
      <c r="J57" s="17"/>
    </row>
    <row r="58" spans="1:10" ht="13.5" thickTop="1">
      <c r="A58" s="61"/>
      <c r="B58" s="24"/>
      <c r="C58" s="43"/>
      <c r="D58" s="93"/>
      <c r="E58" s="92"/>
      <c r="G58" s="570" t="s">
        <v>507</v>
      </c>
      <c r="H58" s="50">
        <v>5743.51</v>
      </c>
      <c r="I58" s="652">
        <f t="shared" ref="I58:I60" si="2">SUM(H58-H57)/H58</f>
        <v>-0.27486502156346893</v>
      </c>
      <c r="J58" s="17" t="s">
        <v>504</v>
      </c>
    </row>
    <row r="59" spans="1:10">
      <c r="A59" s="295" t="s">
        <v>1027</v>
      </c>
      <c r="B59" s="43">
        <f>204.57+55.96+259.02+426.06+171.95+42.91</f>
        <v>1160.47</v>
      </c>
      <c r="C59" s="112"/>
      <c r="D59" s="415">
        <v>1000</v>
      </c>
      <c r="E59" s="92" t="s">
        <v>173</v>
      </c>
      <c r="G59" s="570" t="s">
        <v>508</v>
      </c>
      <c r="H59" s="50">
        <v>5372.35</v>
      </c>
      <c r="I59" s="652">
        <f t="shared" si="2"/>
        <v>-6.9087084795294393E-2</v>
      </c>
      <c r="J59" s="17"/>
    </row>
    <row r="60" spans="1:10">
      <c r="A60" s="295" t="s">
        <v>435</v>
      </c>
      <c r="B60" s="43">
        <f>178.96+51.6+28.91+200.92+122.76</f>
        <v>583.15</v>
      </c>
      <c r="C60" s="112"/>
      <c r="D60" s="415">
        <f>250*12</f>
        <v>3000</v>
      </c>
      <c r="E60" s="92" t="s">
        <v>1006</v>
      </c>
      <c r="G60" s="45" t="s">
        <v>509</v>
      </c>
      <c r="H60" s="22">
        <v>5002.55</v>
      </c>
      <c r="I60" s="652">
        <f t="shared" si="2"/>
        <v>-7.3922299627190172E-2</v>
      </c>
      <c r="J60" s="17"/>
    </row>
    <row r="61" spans="1:10">
      <c r="A61" s="295" t="s">
        <v>641</v>
      </c>
      <c r="B61" s="43">
        <f>125.79+140.59+74.98+234.39+417.59+43+100.6+140.59+436.97</f>
        <v>1714.4999999999998</v>
      </c>
      <c r="C61" s="112"/>
      <c r="D61" s="415">
        <v>2000</v>
      </c>
      <c r="E61" s="92" t="s">
        <v>641</v>
      </c>
      <c r="G61" s="45" t="s">
        <v>587</v>
      </c>
      <c r="H61" s="22">
        <f>AVERAGE(H56:H60)</f>
        <v>6057.2659999999996</v>
      </c>
      <c r="I61" s="17"/>
      <c r="J61" s="17"/>
    </row>
    <row r="62" spans="1:10" ht="13.5" thickBot="1">
      <c r="A62" s="295" t="s">
        <v>218</v>
      </c>
      <c r="B62" s="101">
        <f>SUM(B59:B61)</f>
        <v>3458.12</v>
      </c>
      <c r="C62" s="112"/>
      <c r="D62" s="415">
        <v>500</v>
      </c>
      <c r="E62" s="92" t="s">
        <v>1007</v>
      </c>
      <c r="G62" s="24"/>
      <c r="H62" s="22"/>
      <c r="I62" s="17"/>
      <c r="J62" s="17"/>
    </row>
    <row r="63" spans="1:10" ht="13.5" thickTop="1">
      <c r="A63" s="594"/>
      <c r="B63" s="302"/>
      <c r="C63" s="112"/>
      <c r="D63" s="415"/>
      <c r="E63" s="92"/>
      <c r="G63" s="570" t="s">
        <v>599</v>
      </c>
      <c r="H63" s="50">
        <f>+B62</f>
        <v>3458.12</v>
      </c>
      <c r="I63" s="655">
        <f>SUM(H63-H60)/H63</f>
        <v>-0.44660971857541104</v>
      </c>
      <c r="J63" s="17"/>
    </row>
    <row r="64" spans="1:10">
      <c r="A64" s="594" t="s">
        <v>407</v>
      </c>
      <c r="B64" s="43">
        <f>+B57-B62</f>
        <v>3041.88</v>
      </c>
      <c r="C64" s="43"/>
      <c r="D64" s="93"/>
      <c r="E64" s="92"/>
      <c r="I64" s="17"/>
      <c r="J64" s="17"/>
    </row>
    <row r="65" spans="1:14 16384:16384" ht="13.5" thickBot="1">
      <c r="A65" s="294" t="str">
        <f>+'YE Projections'!$F$3</f>
        <v>6/30/2024 Projection</v>
      </c>
      <c r="B65" s="111">
        <f>SUM(B62:B64)</f>
        <v>6500</v>
      </c>
      <c r="C65" s="527"/>
      <c r="D65" s="93"/>
      <c r="E65" s="92"/>
      <c r="I65" s="17"/>
      <c r="J65" s="17"/>
      <c r="XFD65" s="355">
        <f>SUM(B65:XFC65)</f>
        <v>6500</v>
      </c>
    </row>
    <row r="66" spans="1:14 16384:16384" ht="14.25" thickTop="1" thickBot="1">
      <c r="A66" s="300"/>
      <c r="B66" s="301"/>
      <c r="C66" s="301"/>
      <c r="D66" s="437"/>
      <c r="E66" s="97"/>
      <c r="I66" s="17"/>
      <c r="J66" s="17"/>
    </row>
    <row r="67" spans="1:14 16384:16384" ht="13.5" thickBot="1">
      <c r="C67" s="43"/>
      <c r="D67" s="440"/>
      <c r="I67" s="17"/>
      <c r="J67" s="17"/>
    </row>
    <row r="68" spans="1:14 16384:16384" ht="15">
      <c r="A68" s="1080" t="s">
        <v>25</v>
      </c>
      <c r="B68" s="1085"/>
      <c r="C68" s="1085"/>
      <c r="D68" s="1085"/>
      <c r="E68" s="1086"/>
      <c r="G68" s="45" t="s">
        <v>501</v>
      </c>
      <c r="H68" s="50" t="s">
        <v>25</v>
      </c>
      <c r="I68" s="17"/>
      <c r="J68" s="17"/>
    </row>
    <row r="69" spans="1:14 16384:16384">
      <c r="A69" s="61"/>
      <c r="B69" s="24"/>
      <c r="C69" s="24"/>
      <c r="D69" s="93"/>
      <c r="E69" s="438"/>
      <c r="G69" s="570" t="s">
        <v>505</v>
      </c>
      <c r="H69" s="50">
        <v>1127.47</v>
      </c>
      <c r="I69" s="17" t="s">
        <v>671</v>
      </c>
      <c r="J69" s="17"/>
    </row>
    <row r="70" spans="1:14 16384:16384" ht="13.5" thickBot="1">
      <c r="A70" s="293" t="str">
        <f>+'YE Projections'!$G$3</f>
        <v>FY 23-24 Budget</v>
      </c>
      <c r="B70" s="111">
        <f>+'YE Projections'!G36</f>
        <v>3000</v>
      </c>
      <c r="C70" s="67" t="str">
        <f>+'YE Projections'!I3</f>
        <v>FY 24-25 Proposed</v>
      </c>
      <c r="D70" s="439">
        <f>SUM(D72:D80)</f>
        <v>3000</v>
      </c>
      <c r="E70" s="977">
        <f>SUM(D70-B70)/B70</f>
        <v>0</v>
      </c>
      <c r="G70" s="570" t="s">
        <v>506</v>
      </c>
      <c r="H70" s="50">
        <v>551.74</v>
      </c>
      <c r="I70" s="652">
        <f>SUM(H70-H69)/H70</f>
        <v>-1.0434806249320332</v>
      </c>
      <c r="J70" s="17" t="s">
        <v>504</v>
      </c>
    </row>
    <row r="71" spans="1:14 16384:16384" ht="13.5" thickTop="1">
      <c r="A71" s="594"/>
      <c r="B71" s="24"/>
      <c r="C71" s="43"/>
      <c r="D71" s="93"/>
      <c r="E71" s="92"/>
      <c r="G71" s="570" t="s">
        <v>507</v>
      </c>
      <c r="H71" s="50">
        <v>904.75</v>
      </c>
      <c r="I71" s="652">
        <f t="shared" ref="I71:I73" si="3">SUM(H71-H70)/H71</f>
        <v>0.39017408123791103</v>
      </c>
    </row>
    <row r="72" spans="1:14 16384:16384">
      <c r="A72" s="295" t="s">
        <v>435</v>
      </c>
      <c r="B72" s="43">
        <f>34.99+95.84+27.44+24.96+766.53</f>
        <v>949.76</v>
      </c>
      <c r="C72" s="112"/>
      <c r="D72" s="415">
        <f>12*35</f>
        <v>420</v>
      </c>
      <c r="E72" s="92" t="s">
        <v>1005</v>
      </c>
      <c r="G72" s="570" t="s">
        <v>508</v>
      </c>
      <c r="H72" s="50">
        <v>2796.84</v>
      </c>
      <c r="I72" s="652">
        <f t="shared" si="3"/>
        <v>0.67650991833640828</v>
      </c>
      <c r="J72" s="17"/>
    </row>
    <row r="73" spans="1:14 16384:16384">
      <c r="A73" s="295" t="s">
        <v>323</v>
      </c>
      <c r="B73" s="43">
        <f>273.4+79.98</f>
        <v>353.38</v>
      </c>
      <c r="C73" s="43"/>
      <c r="D73" s="415">
        <v>1500</v>
      </c>
      <c r="E73" s="1018" t="s">
        <v>323</v>
      </c>
      <c r="G73" s="45" t="s">
        <v>509</v>
      </c>
      <c r="H73" s="22">
        <v>2110.29</v>
      </c>
      <c r="I73" s="652">
        <f t="shared" si="3"/>
        <v>-0.32533443270830087</v>
      </c>
      <c r="J73" s="17"/>
    </row>
    <row r="74" spans="1:14 16384:16384">
      <c r="A74" s="295" t="s">
        <v>434</v>
      </c>
      <c r="B74" s="43">
        <v>505</v>
      </c>
      <c r="C74" s="112"/>
      <c r="D74" s="415">
        <f>50*12</f>
        <v>600</v>
      </c>
      <c r="E74" s="1017" t="s">
        <v>1004</v>
      </c>
      <c r="G74" s="45" t="s">
        <v>587</v>
      </c>
      <c r="H74" s="22">
        <f>AVERAGE(H69:H73)</f>
        <v>1498.2180000000001</v>
      </c>
      <c r="I74" s="17"/>
      <c r="J74" s="17"/>
    </row>
    <row r="75" spans="1:14 16384:16384">
      <c r="A75" s="295" t="s">
        <v>173</v>
      </c>
      <c r="B75" s="43">
        <v>437.06</v>
      </c>
      <c r="C75" s="43"/>
      <c r="D75" s="415">
        <v>480</v>
      </c>
      <c r="E75" s="1018" t="s">
        <v>377</v>
      </c>
      <c r="G75" s="24"/>
      <c r="H75" s="22"/>
      <c r="I75" s="17"/>
      <c r="J75" s="17"/>
    </row>
    <row r="76" spans="1:14 16384:16384" ht="13.5" thickBot="1">
      <c r="A76" s="295" t="s">
        <v>218</v>
      </c>
      <c r="B76" s="101">
        <f>SUM(B72:B75)</f>
        <v>2245.1999999999998</v>
      </c>
      <c r="C76" s="24"/>
      <c r="D76" s="24"/>
      <c r="E76" s="92"/>
      <c r="G76" s="570" t="s">
        <v>599</v>
      </c>
      <c r="H76" s="50">
        <f>+B76</f>
        <v>2245.1999999999998</v>
      </c>
      <c r="I76" s="655">
        <f>SUM(H76-H73)/H76</f>
        <v>6.0088188134687276E-2</v>
      </c>
      <c r="J76" s="17"/>
    </row>
    <row r="77" spans="1:14 16384:16384" ht="13.5" thickTop="1">
      <c r="A77" s="295"/>
      <c r="B77" s="303"/>
      <c r="C77" s="112"/>
      <c r="D77" s="415"/>
      <c r="E77" s="92"/>
      <c r="I77" s="17"/>
      <c r="J77" s="17"/>
    </row>
    <row r="78" spans="1:14 16384:16384">
      <c r="A78" s="295" t="s">
        <v>407</v>
      </c>
      <c r="B78" s="43">
        <f>+B70-B76</f>
        <v>754.80000000000018</v>
      </c>
      <c r="C78" s="112"/>
      <c r="D78" s="415"/>
      <c r="E78" s="92"/>
      <c r="G78" s="568"/>
      <c r="H78" s="50"/>
      <c r="I78" s="607"/>
      <c r="J78" s="607"/>
      <c r="K78" s="4"/>
      <c r="L78" s="569"/>
      <c r="M78" s="24"/>
      <c r="N78" s="4"/>
    </row>
    <row r="79" spans="1:14 16384:16384" ht="13.5" thickBot="1">
      <c r="A79" s="294" t="str">
        <f>+'YE Projections'!$F$3</f>
        <v>6/30/2024 Projection</v>
      </c>
      <c r="B79" s="111">
        <f>+B76+B78</f>
        <v>3000</v>
      </c>
      <c r="C79" s="527"/>
      <c r="D79" s="93"/>
      <c r="E79" s="92"/>
      <c r="G79" s="568"/>
      <c r="H79" s="50"/>
      <c r="I79" s="50"/>
      <c r="J79" s="50"/>
      <c r="K79" s="42"/>
      <c r="L79" s="43"/>
      <c r="M79" s="43"/>
      <c r="N79" s="42"/>
    </row>
    <row r="80" spans="1:14 16384:16384" ht="14.25" thickTop="1" thickBot="1">
      <c r="A80" s="296"/>
      <c r="B80" s="307"/>
      <c r="C80" s="301"/>
      <c r="D80" s="426"/>
      <c r="E80" s="97"/>
      <c r="I80" s="17"/>
      <c r="J80" s="17"/>
      <c r="N80" s="400"/>
    </row>
    <row r="81" spans="1:10" ht="13.5" thickBot="1">
      <c r="A81" s="2"/>
      <c r="C81" s="2"/>
      <c r="I81" s="17"/>
      <c r="J81" s="17"/>
    </row>
    <row r="82" spans="1:10" ht="15">
      <c r="A82" s="1080" t="s">
        <v>26</v>
      </c>
      <c r="B82" s="1085"/>
      <c r="C82" s="1085"/>
      <c r="D82" s="1085"/>
      <c r="E82" s="1086"/>
      <c r="G82" s="45" t="s">
        <v>501</v>
      </c>
      <c r="H82" s="50" t="s">
        <v>26</v>
      </c>
      <c r="I82" s="17"/>
      <c r="J82" s="17"/>
    </row>
    <row r="83" spans="1:10">
      <c r="A83" s="61"/>
      <c r="B83" s="24"/>
      <c r="C83" s="24"/>
      <c r="D83" s="93"/>
      <c r="E83" s="438"/>
      <c r="F83" s="24"/>
      <c r="G83" s="570" t="s">
        <v>505</v>
      </c>
      <c r="H83" s="50">
        <v>5344.65</v>
      </c>
      <c r="I83" s="17" t="s">
        <v>671</v>
      </c>
      <c r="J83" s="17"/>
    </row>
    <row r="84" spans="1:10" ht="13.5" thickBot="1">
      <c r="A84" s="293" t="str">
        <f>+'YE Projections'!$G$3</f>
        <v>FY 23-24 Budget</v>
      </c>
      <c r="B84" s="101">
        <f>+'YE Projections'!G37</f>
        <v>8500</v>
      </c>
      <c r="C84" s="44" t="str">
        <f>+C26</f>
        <v>FY 24-25 Proposed</v>
      </c>
      <c r="D84" s="422">
        <f>SUM(D86:D91)</f>
        <v>12000</v>
      </c>
      <c r="E84" s="977">
        <f>SUM(D84-B84)/B84</f>
        <v>0.41176470588235292</v>
      </c>
      <c r="F84" s="24"/>
      <c r="G84" s="570" t="s">
        <v>506</v>
      </c>
      <c r="H84" s="50">
        <v>5609.43</v>
      </c>
      <c r="I84" s="652">
        <f>SUM(H84-H83)/H84</f>
        <v>4.7202656954450029E-2</v>
      </c>
      <c r="J84" s="17"/>
    </row>
    <row r="85" spans="1:10" ht="13.5" thickTop="1">
      <c r="A85" s="61"/>
      <c r="B85" s="24"/>
      <c r="C85" s="43"/>
      <c r="D85" s="93"/>
      <c r="E85" s="92"/>
      <c r="F85" s="24"/>
      <c r="G85" s="570" t="s">
        <v>507</v>
      </c>
      <c r="H85" s="50">
        <v>3175.59</v>
      </c>
      <c r="I85" s="652">
        <f t="shared" ref="I85:I87" si="4">SUM(H85-H84)/H85</f>
        <v>-0.76642135792089028</v>
      </c>
      <c r="J85" s="17" t="s">
        <v>504</v>
      </c>
    </row>
    <row r="86" spans="1:10">
      <c r="A86" s="295" t="s">
        <v>111</v>
      </c>
      <c r="B86" s="43">
        <f>3565</f>
        <v>3565</v>
      </c>
      <c r="C86" s="44" t="s">
        <v>111</v>
      </c>
      <c r="D86" s="415">
        <v>3700</v>
      </c>
      <c r="E86" s="92" t="s">
        <v>376</v>
      </c>
      <c r="F86" s="24"/>
      <c r="G86" s="570" t="s">
        <v>508</v>
      </c>
      <c r="H86" s="50">
        <v>7008.66</v>
      </c>
      <c r="I86" s="652">
        <f t="shared" si="4"/>
        <v>0.54690482916848582</v>
      </c>
      <c r="J86" s="17"/>
    </row>
    <row r="87" spans="1:10">
      <c r="A87" s="295" t="s">
        <v>950</v>
      </c>
      <c r="B87" s="43">
        <v>510</v>
      </c>
      <c r="C87" s="44" t="s">
        <v>185</v>
      </c>
      <c r="D87" s="415">
        <v>550</v>
      </c>
      <c r="E87" s="92" t="s">
        <v>406</v>
      </c>
      <c r="F87" s="24"/>
      <c r="G87" s="45" t="s">
        <v>509</v>
      </c>
      <c r="H87" s="22">
        <v>6824.3</v>
      </c>
      <c r="I87" s="652">
        <f t="shared" si="4"/>
        <v>-2.7015225004762344E-2</v>
      </c>
      <c r="J87" s="17"/>
    </row>
    <row r="88" spans="1:10">
      <c r="A88" s="978" t="s">
        <v>1036</v>
      </c>
      <c r="B88" s="43">
        <f>2415.6+1150</f>
        <v>3565.6</v>
      </c>
      <c r="C88" s="44" t="s">
        <v>121</v>
      </c>
      <c r="D88" s="415">
        <v>4500</v>
      </c>
      <c r="E88" s="92" t="s">
        <v>686</v>
      </c>
      <c r="F88" s="24"/>
      <c r="G88" s="45" t="s">
        <v>587</v>
      </c>
      <c r="H88" s="22">
        <f>AVERAGE(H83:H87)</f>
        <v>5592.5259999999998</v>
      </c>
      <c r="I88" s="17"/>
      <c r="J88" s="17"/>
    </row>
    <row r="89" spans="1:10" ht="13.5" thickBot="1">
      <c r="A89" s="295" t="s">
        <v>218</v>
      </c>
      <c r="B89" s="101">
        <f>SUM(B86:B88)</f>
        <v>7640.6</v>
      </c>
      <c r="C89" s="44"/>
      <c r="D89" s="415">
        <v>750</v>
      </c>
      <c r="E89" s="92" t="s">
        <v>1037</v>
      </c>
      <c r="F89" s="24"/>
      <c r="G89" s="24"/>
      <c r="H89" s="22"/>
      <c r="I89" s="17"/>
      <c r="J89" s="17"/>
    </row>
    <row r="90" spans="1:10" ht="13.5" thickTop="1">
      <c r="A90" s="295" t="s">
        <v>407</v>
      </c>
      <c r="B90" s="43">
        <f>+B84-B89</f>
        <v>859.39999999999964</v>
      </c>
      <c r="C90" s="24"/>
      <c r="D90" s="43">
        <v>2500</v>
      </c>
      <c r="E90" s="66" t="s">
        <v>967</v>
      </c>
      <c r="F90" s="24"/>
      <c r="G90" s="570" t="s">
        <v>599</v>
      </c>
      <c r="H90" s="50">
        <f>+B89</f>
        <v>7640.6</v>
      </c>
      <c r="I90" s="652">
        <f>SUM(H90-H87)/H90</f>
        <v>0.1068371593853886</v>
      </c>
      <c r="J90" s="17"/>
    </row>
    <row r="91" spans="1:10" ht="13.5" thickBot="1">
      <c r="A91" s="294" t="str">
        <f>+'YE Projections'!$F$3</f>
        <v>6/30/2024 Projection</v>
      </c>
      <c r="B91" s="111">
        <f>+B89+B90</f>
        <v>8500</v>
      </c>
      <c r="C91" s="43"/>
      <c r="D91" s="93"/>
      <c r="E91" s="1043" t="s">
        <v>568</v>
      </c>
      <c r="I91" s="17"/>
      <c r="J91" s="17"/>
    </row>
    <row r="92" spans="1:10" ht="27.75" customHeight="1" thickTop="1" thickBot="1">
      <c r="A92" s="300"/>
      <c r="B92" s="301"/>
      <c r="C92" s="297"/>
      <c r="D92" s="426"/>
      <c r="E92" s="1042"/>
      <c r="I92" s="17"/>
      <c r="J92" s="17"/>
    </row>
    <row r="93" spans="1:10">
      <c r="I93" s="17"/>
      <c r="J93" s="17"/>
    </row>
    <row r="94" spans="1:10" ht="13.5" thickBot="1">
      <c r="A94" s="2"/>
      <c r="C94" s="2"/>
      <c r="I94" s="17"/>
      <c r="J94" s="17"/>
    </row>
    <row r="95" spans="1:10" ht="15">
      <c r="A95" s="1080" t="s">
        <v>27</v>
      </c>
      <c r="B95" s="1085"/>
      <c r="C95" s="1085"/>
      <c r="D95" s="1085"/>
      <c r="E95" s="1086"/>
      <c r="G95" s="45" t="s">
        <v>501</v>
      </c>
      <c r="H95" s="50" t="s">
        <v>27</v>
      </c>
      <c r="I95" s="17"/>
      <c r="J95" s="17"/>
    </row>
    <row r="96" spans="1:10">
      <c r="A96" s="61"/>
      <c r="B96" s="24"/>
      <c r="C96" s="24"/>
      <c r="D96" s="93"/>
      <c r="E96" s="438"/>
      <c r="G96" s="570" t="s">
        <v>505</v>
      </c>
      <c r="H96" s="50">
        <v>285.07</v>
      </c>
      <c r="I96" s="17" t="s">
        <v>671</v>
      </c>
      <c r="J96" s="17"/>
    </row>
    <row r="97" spans="1:12" ht="13.5" thickBot="1">
      <c r="A97" s="293" t="str">
        <f>+'YE Projections'!$G$3</f>
        <v>FY 23-24 Budget</v>
      </c>
      <c r="B97" s="111">
        <f>+'YE Projections'!G38</f>
        <v>450</v>
      </c>
      <c r="C97" s="44" t="str">
        <f>+C3</f>
        <v>FY 24-25 Proposed</v>
      </c>
      <c r="D97" s="422">
        <f>SUM(D99:D99)</f>
        <v>800</v>
      </c>
      <c r="E97" s="977">
        <f>SUM(D97-B97)/B97</f>
        <v>0.77777777777777779</v>
      </c>
      <c r="G97" s="570" t="s">
        <v>506</v>
      </c>
      <c r="H97" s="50">
        <v>439.09</v>
      </c>
      <c r="I97" s="652">
        <f>SUM(H97-H96)/H97</f>
        <v>0.35077091256917714</v>
      </c>
      <c r="J97" s="17"/>
    </row>
    <row r="98" spans="1:12" ht="13.5" thickTop="1">
      <c r="A98" s="594"/>
      <c r="B98" s="24"/>
      <c r="C98" s="43"/>
      <c r="D98" s="93"/>
      <c r="E98" s="92"/>
      <c r="G98" s="570" t="s">
        <v>507</v>
      </c>
      <c r="H98" s="50">
        <v>439.09</v>
      </c>
      <c r="I98" s="652">
        <f t="shared" ref="I98:I101" si="5">SUM(H98-H97)/H98</f>
        <v>0</v>
      </c>
      <c r="J98" s="17"/>
    </row>
    <row r="99" spans="1:12">
      <c r="A99" s="293" t="s">
        <v>218</v>
      </c>
      <c r="B99" s="1016">
        <v>756.55</v>
      </c>
      <c r="C99" s="43"/>
      <c r="D99" s="415">
        <v>800</v>
      </c>
      <c r="E99" s="320" t="s">
        <v>233</v>
      </c>
      <c r="G99" s="570" t="s">
        <v>508</v>
      </c>
      <c r="H99" s="50">
        <v>439.06</v>
      </c>
      <c r="I99" s="652">
        <f t="shared" si="5"/>
        <v>-6.8327791190207979E-5</v>
      </c>
      <c r="J99" s="17"/>
    </row>
    <row r="100" spans="1:12">
      <c r="A100" s="295"/>
      <c r="B100" s="303"/>
      <c r="C100" s="44"/>
      <c r="D100" s="415"/>
      <c r="E100" s="92" t="s">
        <v>229</v>
      </c>
      <c r="G100" s="45" t="s">
        <v>509</v>
      </c>
      <c r="H100" s="22">
        <v>439.06</v>
      </c>
      <c r="I100" s="652">
        <f t="shared" si="5"/>
        <v>0</v>
      </c>
      <c r="J100" s="17"/>
    </row>
    <row r="101" spans="1:12" ht="13.5" thickBot="1">
      <c r="A101" s="294" t="str">
        <f>+'YE Projections'!$F$3</f>
        <v>6/30/2024 Projection</v>
      </c>
      <c r="B101" s="101">
        <f>+B99</f>
        <v>756.55</v>
      </c>
      <c r="C101" s="44"/>
      <c r="D101" s="415"/>
      <c r="E101" s="92"/>
      <c r="G101" s="570" t="s">
        <v>599</v>
      </c>
      <c r="H101" s="50">
        <f>+B99</f>
        <v>756.55</v>
      </c>
      <c r="I101" s="664">
        <f t="shared" si="5"/>
        <v>0.41965501288744955</v>
      </c>
      <c r="J101" s="17"/>
    </row>
    <row r="102" spans="1:12" ht="13.5" thickTop="1">
      <c r="C102" s="442"/>
      <c r="D102" s="93"/>
      <c r="E102" s="92"/>
      <c r="G102" s="24" t="s">
        <v>672</v>
      </c>
      <c r="H102" s="22"/>
      <c r="I102" s="17"/>
      <c r="J102" s="17"/>
    </row>
    <row r="103" spans="1:12" ht="13.5" thickBot="1">
      <c r="A103" s="304"/>
      <c r="B103" s="301"/>
      <c r="C103" s="297"/>
      <c r="D103" s="426"/>
      <c r="E103" s="97"/>
      <c r="I103" s="17"/>
      <c r="J103" s="17"/>
    </row>
    <row r="104" spans="1:12" ht="13.5" thickBot="1">
      <c r="I104" s="17"/>
      <c r="J104" s="17"/>
    </row>
    <row r="105" spans="1:12" ht="15">
      <c r="A105" s="1087" t="s">
        <v>28</v>
      </c>
      <c r="B105" s="1085"/>
      <c r="C105" s="1085"/>
      <c r="D105" s="1085"/>
      <c r="E105" s="1086"/>
      <c r="G105" s="45" t="s">
        <v>501</v>
      </c>
      <c r="H105" s="50" t="s">
        <v>28</v>
      </c>
      <c r="I105" s="17"/>
      <c r="K105" s="612">
        <v>7.4999999999999997E-3</v>
      </c>
      <c r="L105" s="471" t="s">
        <v>183</v>
      </c>
    </row>
    <row r="106" spans="1:12" ht="15">
      <c r="A106" s="466"/>
      <c r="B106" s="601"/>
      <c r="C106" s="601"/>
      <c r="D106" s="420"/>
      <c r="E106" s="421"/>
      <c r="G106" s="570" t="s">
        <v>505</v>
      </c>
      <c r="H106" s="50">
        <v>3566.72</v>
      </c>
      <c r="I106" s="17" t="s">
        <v>671</v>
      </c>
      <c r="J106" s="17"/>
      <c r="K106" s="612">
        <v>0.5</v>
      </c>
      <c r="L106" s="471" t="s">
        <v>184</v>
      </c>
    </row>
    <row r="107" spans="1:12" ht="13.5" thickBot="1">
      <c r="A107" s="293" t="str">
        <f>+'YE Projections'!$G$3</f>
        <v>FY 23-24 Budget</v>
      </c>
      <c r="B107" s="111">
        <f>+'YE Projections'!G39</f>
        <v>3300</v>
      </c>
      <c r="C107" s="44" t="str">
        <f>+$C$3</f>
        <v>FY 24-25 Proposed</v>
      </c>
      <c r="D107" s="422">
        <f>SUM(D109:D115)</f>
        <v>3300</v>
      </c>
      <c r="E107" s="977">
        <f>SUM(D107-B107)/B107</f>
        <v>0</v>
      </c>
      <c r="G107" s="570" t="s">
        <v>506</v>
      </c>
      <c r="H107" s="50">
        <v>2876.69</v>
      </c>
      <c r="I107" s="652">
        <f>SUM(H107-H106)/H107</f>
        <v>-0.23986943327226767</v>
      </c>
      <c r="J107" s="17"/>
      <c r="L107" s="24"/>
    </row>
    <row r="108" spans="1:12" ht="13.5" thickTop="1">
      <c r="A108" s="414"/>
      <c r="B108" s="24"/>
      <c r="C108" s="24"/>
      <c r="D108" s="93"/>
      <c r="E108" s="424"/>
      <c r="G108" s="570" t="s">
        <v>507</v>
      </c>
      <c r="H108" s="50">
        <v>1012.76</v>
      </c>
      <c r="I108" s="652">
        <f t="shared" ref="I108:I110" si="6">SUM(H108-H107)/H108</f>
        <v>-1.8404459101860264</v>
      </c>
      <c r="J108" s="17" t="s">
        <v>504</v>
      </c>
    </row>
    <row r="109" spans="1:12">
      <c r="A109" s="313" t="s">
        <v>174</v>
      </c>
      <c r="B109" s="43">
        <f>1161.22+463.55</f>
        <v>1624.77</v>
      </c>
      <c r="C109" s="44"/>
      <c r="D109" s="415">
        <f>275*12</f>
        <v>3300</v>
      </c>
      <c r="E109" s="425" t="s">
        <v>1003</v>
      </c>
      <c r="G109" s="570" t="s">
        <v>508</v>
      </c>
      <c r="H109" s="50">
        <v>1190.48</v>
      </c>
      <c r="I109" s="652">
        <f t="shared" si="6"/>
        <v>0.14928432229016869</v>
      </c>
      <c r="J109" s="17"/>
    </row>
    <row r="110" spans="1:12">
      <c r="A110" s="594" t="s">
        <v>574</v>
      </c>
      <c r="B110" s="43">
        <v>-622.42999999999995</v>
      </c>
      <c r="C110" s="44"/>
      <c r="D110" s="415"/>
      <c r="E110" s="424"/>
      <c r="G110" s="45" t="s">
        <v>509</v>
      </c>
      <c r="H110" s="22">
        <v>1270.42</v>
      </c>
      <c r="I110" s="652">
        <f t="shared" si="6"/>
        <v>6.2924072354024696E-2</v>
      </c>
      <c r="J110" s="17"/>
    </row>
    <row r="111" spans="1:12" ht="13.5" thickBot="1">
      <c r="A111" s="443" t="s">
        <v>218</v>
      </c>
      <c r="B111" s="101">
        <f>SUM(B109:B110)</f>
        <v>1002.34</v>
      </c>
      <c r="C111" s="24"/>
      <c r="D111" s="93"/>
      <c r="E111" s="424"/>
      <c r="G111" s="45" t="s">
        <v>587</v>
      </c>
      <c r="H111" s="22">
        <f>AVERAGE(H106:H110)</f>
        <v>1983.414</v>
      </c>
      <c r="I111" s="17"/>
      <c r="J111" s="17"/>
    </row>
    <row r="112" spans="1:12" ht="13.5" thickTop="1">
      <c r="A112" s="594"/>
      <c r="B112" s="24"/>
      <c r="C112" s="24"/>
      <c r="D112" s="93" t="s">
        <v>576</v>
      </c>
      <c r="E112" s="92"/>
      <c r="G112" s="24"/>
      <c r="H112" s="22"/>
      <c r="I112" s="17"/>
      <c r="J112" s="17"/>
    </row>
    <row r="113" spans="1:10">
      <c r="A113" s="313" t="s">
        <v>407</v>
      </c>
      <c r="B113" s="43">
        <f>+H111-B111</f>
        <v>981.07399999999996</v>
      </c>
      <c r="C113" s="24"/>
      <c r="D113" s="93" t="s">
        <v>575</v>
      </c>
      <c r="E113" s="92"/>
      <c r="G113" s="570" t="s">
        <v>599</v>
      </c>
      <c r="H113" s="50">
        <f>+B111</f>
        <v>1002.34</v>
      </c>
      <c r="I113" s="655">
        <f>SUM(H113-H110)/H113</f>
        <v>-0.26745415727198357</v>
      </c>
      <c r="J113" s="17"/>
    </row>
    <row r="114" spans="1:10" ht="13.5" thickBot="1">
      <c r="A114" s="294" t="str">
        <f>+'YE Projections'!$F$3</f>
        <v>6/30/2024 Projection</v>
      </c>
      <c r="B114" s="101">
        <f>+B111+B113</f>
        <v>1983.414</v>
      </c>
      <c r="C114" s="24"/>
      <c r="D114" s="93"/>
      <c r="E114" s="92"/>
      <c r="I114" s="17"/>
      <c r="J114" s="17"/>
    </row>
    <row r="115" spans="1:10" ht="14.25" thickTop="1" thickBot="1">
      <c r="A115" s="449"/>
      <c r="B115" s="301"/>
      <c r="C115" s="301"/>
      <c r="D115" s="426"/>
      <c r="E115" s="427"/>
      <c r="I115" s="17"/>
      <c r="J115" s="17"/>
    </row>
    <row r="116" spans="1:10" ht="13.5" thickBot="1">
      <c r="A116" s="17"/>
      <c r="C116" s="2"/>
      <c r="E116" s="428"/>
      <c r="I116" s="17"/>
      <c r="J116" s="17"/>
    </row>
    <row r="117" spans="1:10" ht="15">
      <c r="A117" s="1080" t="s">
        <v>29</v>
      </c>
      <c r="B117" s="1088"/>
      <c r="C117" s="1088"/>
      <c r="D117" s="1088"/>
      <c r="E117" s="1089"/>
      <c r="G117" s="45" t="s">
        <v>501</v>
      </c>
      <c r="H117" s="50" t="s">
        <v>29</v>
      </c>
      <c r="I117" s="17"/>
      <c r="J117" s="17"/>
    </row>
    <row r="118" spans="1:10" ht="15">
      <c r="A118" s="312"/>
      <c r="B118" s="403"/>
      <c r="C118" s="403"/>
      <c r="D118" s="429"/>
      <c r="E118" s="421"/>
      <c r="G118" s="570" t="s">
        <v>505</v>
      </c>
      <c r="H118" s="50">
        <v>3020.87</v>
      </c>
      <c r="I118" s="17" t="s">
        <v>671</v>
      </c>
      <c r="J118" s="17"/>
    </row>
    <row r="119" spans="1:10" ht="13.5" thickBot="1">
      <c r="A119" s="293" t="str">
        <f>+'YE Projections'!$G$3</f>
        <v>FY 23-24 Budget</v>
      </c>
      <c r="B119" s="111">
        <f>+'YE Projections'!G40</f>
        <v>3000</v>
      </c>
      <c r="C119" s="44" t="str">
        <f>+$C$3</f>
        <v>FY 24-25 Proposed</v>
      </c>
      <c r="D119" s="422">
        <f>SUM(D121:D127)</f>
        <v>3000</v>
      </c>
      <c r="E119" s="977">
        <f>SUM(D119-B119)/B119</f>
        <v>0</v>
      </c>
      <c r="G119" s="570" t="s">
        <v>506</v>
      </c>
      <c r="H119" s="50">
        <v>2982.09</v>
      </c>
      <c r="I119" s="652">
        <f>SUM(H119-H118)/H119</f>
        <v>-1.3004302351706267E-2</v>
      </c>
      <c r="J119" s="17"/>
    </row>
    <row r="120" spans="1:10" ht="13.5" thickTop="1">
      <c r="A120" s="414"/>
      <c r="B120" s="24"/>
      <c r="C120" s="24"/>
      <c r="D120" s="93"/>
      <c r="E120" s="424"/>
      <c r="G120" s="570" t="s">
        <v>507</v>
      </c>
      <c r="H120" s="50">
        <v>397.36</v>
      </c>
      <c r="I120" s="652">
        <f t="shared" ref="I120:I122" si="7">SUM(H120-H119)/H120</f>
        <v>-6.5047563921884439</v>
      </c>
      <c r="J120" s="17" t="s">
        <v>504</v>
      </c>
    </row>
    <row r="121" spans="1:10">
      <c r="A121" s="313" t="s">
        <v>147</v>
      </c>
      <c r="B121" s="43">
        <f>354.96+123.14+105.08+201.98+185.98+84.99+100.99</f>
        <v>1157.1199999999999</v>
      </c>
      <c r="C121" s="44"/>
      <c r="D121" s="415">
        <v>2000</v>
      </c>
      <c r="E121" s="424" t="s">
        <v>147</v>
      </c>
      <c r="G121" s="570" t="s">
        <v>508</v>
      </c>
      <c r="H121" s="50">
        <v>1400.88</v>
      </c>
      <c r="I121" s="652">
        <f t="shared" si="7"/>
        <v>0.71634972303123756</v>
      </c>
      <c r="J121" s="17"/>
    </row>
    <row r="122" spans="1:10">
      <c r="A122" s="443" t="s">
        <v>327</v>
      </c>
      <c r="B122" s="32">
        <f>39.98+159.94+79.96+17.59+149.95</f>
        <v>447.41999999999996</v>
      </c>
      <c r="C122" s="44"/>
      <c r="D122" s="430">
        <v>1000</v>
      </c>
      <c r="E122" s="424" t="s">
        <v>327</v>
      </c>
      <c r="G122" s="45" t="s">
        <v>509</v>
      </c>
      <c r="H122" s="22">
        <v>1101.5899999999999</v>
      </c>
      <c r="I122" s="652">
        <f t="shared" si="7"/>
        <v>-0.27168910393158996</v>
      </c>
      <c r="J122" s="17" t="s">
        <v>685</v>
      </c>
    </row>
    <row r="123" spans="1:10">
      <c r="A123" s="313" t="s">
        <v>1033</v>
      </c>
      <c r="B123" s="43">
        <v>-1094.29</v>
      </c>
      <c r="C123" s="32"/>
      <c r="D123" s="430"/>
      <c r="E123" s="424"/>
      <c r="G123" s="45" t="s">
        <v>587</v>
      </c>
      <c r="H123" s="22">
        <f>AVERAGE(H118:H122)</f>
        <v>1780.5579999999998</v>
      </c>
      <c r="I123" s="17"/>
      <c r="J123" s="17"/>
    </row>
    <row r="124" spans="1:10" ht="13.5" thickBot="1">
      <c r="A124" s="443" t="s">
        <v>218</v>
      </c>
      <c r="B124" s="101">
        <f>SUM(B121:B123)</f>
        <v>510.25</v>
      </c>
      <c r="C124" s="32"/>
      <c r="D124" s="430"/>
      <c r="E124" s="424"/>
      <c r="G124" s="24"/>
      <c r="H124" s="22"/>
      <c r="I124" s="17"/>
      <c r="J124" s="17"/>
    </row>
    <row r="125" spans="1:10" ht="13.5" thickTop="1">
      <c r="A125" s="414"/>
      <c r="B125" s="302"/>
      <c r="C125" s="32"/>
      <c r="D125" s="430"/>
      <c r="E125" s="424"/>
      <c r="G125" s="570" t="s">
        <v>599</v>
      </c>
      <c r="H125" s="50">
        <f>+B124</f>
        <v>510.25</v>
      </c>
      <c r="I125" s="655">
        <f>SUM(H125-H122)/H125</f>
        <v>-1.1589220970112688</v>
      </c>
      <c r="J125" s="17"/>
    </row>
    <row r="126" spans="1:10">
      <c r="A126" s="443" t="s">
        <v>407</v>
      </c>
      <c r="B126" s="32">
        <f>+H123-B124</f>
        <v>1270.3079999999998</v>
      </c>
      <c r="C126" s="32"/>
      <c r="D126" s="430"/>
      <c r="E126" s="424"/>
      <c r="I126" s="17"/>
      <c r="J126" s="17"/>
    </row>
    <row r="127" spans="1:10" ht="13.5" thickBot="1">
      <c r="A127" s="294" t="str">
        <f>+'YE Projections'!$F$3</f>
        <v>6/30/2024 Projection</v>
      </c>
      <c r="B127" s="111">
        <f>SUM(B124:B126)</f>
        <v>1780.5579999999998</v>
      </c>
      <c r="C127" s="24"/>
      <c r="D127" s="93"/>
      <c r="E127" s="424"/>
      <c r="I127" s="17"/>
      <c r="J127" s="17"/>
    </row>
    <row r="128" spans="1:10" ht="14.25" thickTop="1" thickBot="1">
      <c r="A128" s="467"/>
      <c r="B128" s="307"/>
      <c r="C128" s="301"/>
      <c r="D128" s="426"/>
      <c r="E128" s="427"/>
      <c r="I128" s="17"/>
      <c r="J128" s="17"/>
    </row>
    <row r="129" spans="1:10" ht="13.5" thickBot="1">
      <c r="A129" s="454"/>
      <c r="B129" s="32"/>
      <c r="C129" s="24"/>
      <c r="D129" s="93"/>
      <c r="E129" s="428"/>
      <c r="I129" s="17"/>
      <c r="J129" s="17"/>
    </row>
    <row r="130" spans="1:10" ht="15">
      <c r="A130" s="1080" t="s">
        <v>30</v>
      </c>
      <c r="B130" s="1088"/>
      <c r="C130" s="1088"/>
      <c r="D130" s="1088"/>
      <c r="E130" s="1089"/>
      <c r="G130" s="45" t="s">
        <v>501</v>
      </c>
      <c r="H130" s="50" t="s">
        <v>30</v>
      </c>
      <c r="I130" s="17"/>
      <c r="J130" s="17"/>
    </row>
    <row r="131" spans="1:10" ht="15">
      <c r="A131" s="312"/>
      <c r="B131" s="403"/>
      <c r="C131" s="403"/>
      <c r="D131" s="429"/>
      <c r="E131" s="421"/>
      <c r="G131" s="570" t="s">
        <v>505</v>
      </c>
      <c r="H131" s="50">
        <v>3188.5</v>
      </c>
      <c r="I131" s="17" t="s">
        <v>671</v>
      </c>
      <c r="J131" s="17"/>
    </row>
    <row r="132" spans="1:10" ht="13.5" thickBot="1">
      <c r="A132" s="293" t="str">
        <f>+'YE Projections'!$G$3</f>
        <v>FY 23-24 Budget</v>
      </c>
      <c r="B132" s="111">
        <f>+'YE Projections'!G41</f>
        <v>2130</v>
      </c>
      <c r="C132" s="44" t="str">
        <f>+$C$3</f>
        <v>FY 24-25 Proposed</v>
      </c>
      <c r="D132" s="422">
        <f>SUM(D133:D148)</f>
        <v>2660</v>
      </c>
      <c r="E132" s="977">
        <f>SUM(D132-B132)/B132</f>
        <v>0.24882629107981222</v>
      </c>
      <c r="G132" s="570" t="s">
        <v>506</v>
      </c>
      <c r="H132" s="50">
        <v>1722.22</v>
      </c>
      <c r="I132" s="652">
        <f>SUM(H132-H131)/H132</f>
        <v>-0.85138948566385242</v>
      </c>
      <c r="J132" s="17"/>
    </row>
    <row r="133" spans="1:10" ht="13.5" thickTop="1">
      <c r="A133" s="414"/>
      <c r="B133" s="43"/>
      <c r="C133" s="24"/>
      <c r="D133" s="93"/>
      <c r="E133" s="424"/>
      <c r="G133" s="570" t="s">
        <v>507</v>
      </c>
      <c r="H133" s="50">
        <v>1216.81</v>
      </c>
      <c r="I133" s="652">
        <f t="shared" ref="I133:I135" si="8">SUM(H133-H132)/H133</f>
        <v>-0.41535654703692448</v>
      </c>
      <c r="J133" s="17" t="s">
        <v>504</v>
      </c>
    </row>
    <row r="134" spans="1:10">
      <c r="A134" s="313" t="s">
        <v>513</v>
      </c>
      <c r="B134" s="43">
        <v>183</v>
      </c>
      <c r="C134" s="115" t="s">
        <v>103</v>
      </c>
      <c r="D134" s="29">
        <v>250</v>
      </c>
      <c r="E134" s="383" t="s">
        <v>569</v>
      </c>
      <c r="G134" s="570" t="s">
        <v>508</v>
      </c>
      <c r="H134" s="50">
        <v>2156.9699999999998</v>
      </c>
      <c r="I134" s="652">
        <f t="shared" si="8"/>
        <v>0.43587068897573911</v>
      </c>
      <c r="J134" s="17"/>
    </row>
    <row r="135" spans="1:10">
      <c r="A135" s="313" t="s">
        <v>333</v>
      </c>
      <c r="B135" s="43"/>
      <c r="C135" s="115" t="s">
        <v>103</v>
      </c>
      <c r="D135" s="415">
        <v>200</v>
      </c>
      <c r="E135" s="424" t="s">
        <v>242</v>
      </c>
      <c r="G135" s="45" t="s">
        <v>509</v>
      </c>
      <c r="H135" s="22">
        <v>1658.3</v>
      </c>
      <c r="I135" s="652">
        <f t="shared" si="8"/>
        <v>-0.30071157209190125</v>
      </c>
      <c r="J135" s="17"/>
    </row>
    <row r="136" spans="1:10">
      <c r="A136" s="313" t="s">
        <v>105</v>
      </c>
      <c r="B136" s="43">
        <v>100</v>
      </c>
      <c r="C136" s="115" t="s">
        <v>105</v>
      </c>
      <c r="D136" s="29">
        <v>100</v>
      </c>
      <c r="E136" s="383" t="s">
        <v>371</v>
      </c>
      <c r="G136" s="45" t="s">
        <v>587</v>
      </c>
      <c r="H136" s="22">
        <f>AVERAGE(H131:H135)</f>
        <v>1988.56</v>
      </c>
      <c r="I136" s="17"/>
      <c r="J136" s="17"/>
    </row>
    <row r="137" spans="1:10">
      <c r="A137" s="313" t="s">
        <v>332</v>
      </c>
      <c r="B137" s="43">
        <v>120</v>
      </c>
      <c r="C137" s="115" t="s">
        <v>109</v>
      </c>
      <c r="D137" s="29">
        <v>120</v>
      </c>
      <c r="E137" s="383" t="s">
        <v>110</v>
      </c>
      <c r="G137" s="24"/>
      <c r="H137" s="22"/>
      <c r="I137" s="17"/>
      <c r="J137" s="17"/>
    </row>
    <row r="138" spans="1:10">
      <c r="A138" s="313" t="s">
        <v>329</v>
      </c>
      <c r="B138" s="43">
        <v>110</v>
      </c>
      <c r="C138" s="116" t="s">
        <v>329</v>
      </c>
      <c r="D138" s="29">
        <v>120</v>
      </c>
      <c r="E138" s="383" t="s">
        <v>712</v>
      </c>
      <c r="G138" s="570" t="s">
        <v>599</v>
      </c>
      <c r="H138" s="50">
        <f>+B145</f>
        <v>1306</v>
      </c>
      <c r="I138" s="655">
        <f>SUM(H138-H135)/H138</f>
        <v>-0.26975497702909645</v>
      </c>
      <c r="J138" s="17"/>
    </row>
    <row r="139" spans="1:10">
      <c r="A139" s="313" t="s">
        <v>328</v>
      </c>
      <c r="B139" s="43">
        <v>510</v>
      </c>
      <c r="C139" s="115" t="s">
        <v>117</v>
      </c>
      <c r="D139" s="29">
        <v>550</v>
      </c>
      <c r="E139" s="383" t="s">
        <v>372</v>
      </c>
      <c r="G139" s="662" t="s">
        <v>330</v>
      </c>
      <c r="I139" s="17"/>
      <c r="J139" s="17"/>
    </row>
    <row r="140" spans="1:10">
      <c r="A140" s="313" t="s">
        <v>114</v>
      </c>
      <c r="B140" s="24">
        <v>35</v>
      </c>
      <c r="C140" s="115" t="s">
        <v>114</v>
      </c>
      <c r="D140" s="29">
        <v>35</v>
      </c>
      <c r="E140" s="383" t="s">
        <v>371</v>
      </c>
      <c r="G140" s="2" t="s">
        <v>694</v>
      </c>
      <c r="I140" s="17"/>
      <c r="J140" s="17"/>
    </row>
    <row r="141" spans="1:10">
      <c r="A141" s="313" t="s">
        <v>82</v>
      </c>
      <c r="B141" s="43"/>
      <c r="C141" s="115" t="s">
        <v>82</v>
      </c>
      <c r="D141" s="29">
        <v>160</v>
      </c>
      <c r="E141" s="383" t="s">
        <v>371</v>
      </c>
      <c r="G141" s="2" t="s">
        <v>695</v>
      </c>
      <c r="I141" s="17"/>
      <c r="J141" s="17"/>
    </row>
    <row r="142" spans="1:10">
      <c r="A142" s="313" t="s">
        <v>119</v>
      </c>
      <c r="B142" s="43"/>
      <c r="C142" s="44" t="s">
        <v>119</v>
      </c>
      <c r="D142" s="415">
        <v>150</v>
      </c>
      <c r="E142" s="424" t="s">
        <v>373</v>
      </c>
      <c r="G142" s="2" t="s">
        <v>696</v>
      </c>
      <c r="I142" s="17"/>
      <c r="J142" s="17"/>
    </row>
    <row r="143" spans="1:10">
      <c r="A143" s="313" t="s">
        <v>330</v>
      </c>
      <c r="B143" s="43">
        <v>248</v>
      </c>
      <c r="C143" s="115" t="s">
        <v>330</v>
      </c>
      <c r="D143" s="29">
        <v>775</v>
      </c>
      <c r="E143" s="383" t="s">
        <v>941</v>
      </c>
      <c r="G143" s="2" t="s">
        <v>697</v>
      </c>
      <c r="I143" s="17"/>
      <c r="J143" s="17"/>
    </row>
    <row r="144" spans="1:10">
      <c r="A144" s="61"/>
      <c r="B144" s="24"/>
      <c r="C144" s="115" t="s">
        <v>457</v>
      </c>
      <c r="D144" s="415">
        <v>200</v>
      </c>
      <c r="E144" s="424"/>
      <c r="G144" s="2" t="s">
        <v>698</v>
      </c>
      <c r="I144" s="17"/>
      <c r="J144" s="17"/>
    </row>
    <row r="145" spans="1:10" ht="13.5" thickBot="1">
      <c r="A145" s="443" t="s">
        <v>218</v>
      </c>
      <c r="B145" s="306">
        <f>SUM(B133:B144)</f>
        <v>1306</v>
      </c>
      <c r="C145" s="32"/>
      <c r="D145" s="93"/>
      <c r="E145" s="424"/>
      <c r="G145" s="2" t="s">
        <v>699</v>
      </c>
      <c r="I145" s="17"/>
      <c r="J145" s="17"/>
    </row>
    <row r="146" spans="1:10" ht="13.5" thickTop="1">
      <c r="A146" s="594"/>
      <c r="B146" s="43"/>
      <c r="C146" s="32"/>
      <c r="D146" s="93"/>
      <c r="E146" s="424"/>
      <c r="G146" s="2" t="s">
        <v>700</v>
      </c>
      <c r="I146" s="17"/>
      <c r="J146" s="17"/>
    </row>
    <row r="147" spans="1:10">
      <c r="A147" s="313" t="s">
        <v>407</v>
      </c>
      <c r="B147" s="43">
        <f>+H136-B145</f>
        <v>682.56</v>
      </c>
      <c r="C147" s="24"/>
      <c r="D147" s="93"/>
      <c r="E147" s="424"/>
      <c r="G147" s="2" t="s">
        <v>701</v>
      </c>
      <c r="I147" s="17"/>
      <c r="J147" s="17"/>
    </row>
    <row r="148" spans="1:10" ht="13.5" thickBot="1">
      <c r="A148" s="294" t="str">
        <f>+'YE Projections'!$F$3</f>
        <v>6/30/2024 Projection</v>
      </c>
      <c r="B148" s="111">
        <f>SUM(B144:B147)</f>
        <v>1988.56</v>
      </c>
      <c r="C148" s="24"/>
      <c r="D148" s="431"/>
      <c r="E148" s="424"/>
      <c r="G148" s="2" t="s">
        <v>702</v>
      </c>
      <c r="I148" s="17"/>
      <c r="J148" s="17"/>
    </row>
    <row r="149" spans="1:10" ht="14.25" thickTop="1" thickBot="1">
      <c r="A149" s="449"/>
      <c r="B149" s="308"/>
      <c r="C149" s="308"/>
      <c r="D149" s="348"/>
      <c r="E149" s="427"/>
      <c r="G149" s="2" t="s">
        <v>703</v>
      </c>
      <c r="I149" s="17"/>
      <c r="J149" s="17"/>
    </row>
    <row r="150" spans="1:10" ht="13.5" thickBot="1">
      <c r="A150" s="28"/>
      <c r="B150" s="70"/>
      <c r="C150" s="70"/>
      <c r="D150" s="432"/>
      <c r="E150" s="428"/>
    </row>
    <row r="151" spans="1:10" ht="15">
      <c r="A151" s="1080" t="s">
        <v>31</v>
      </c>
      <c r="B151" s="1088"/>
      <c r="C151" s="1088"/>
      <c r="D151" s="1088"/>
      <c r="E151" s="1089"/>
      <c r="G151" s="45" t="s">
        <v>501</v>
      </c>
      <c r="H151" s="50" t="s">
        <v>31</v>
      </c>
      <c r="I151" s="17"/>
    </row>
    <row r="152" spans="1:10" ht="15">
      <c r="A152" s="312"/>
      <c r="B152" s="403"/>
      <c r="C152" s="403"/>
      <c r="D152" s="429"/>
      <c r="E152" s="421"/>
      <c r="G152" s="570" t="s">
        <v>505</v>
      </c>
      <c r="H152" s="50">
        <v>2088.59</v>
      </c>
      <c r="I152" s="17"/>
      <c r="J152" s="17"/>
    </row>
    <row r="153" spans="1:10" ht="13.5" thickBot="1">
      <c r="A153" s="293" t="str">
        <f>+'YE Projections'!$G$3</f>
        <v>FY 23-24 Budget</v>
      </c>
      <c r="B153" s="111">
        <f>+'YE Projections'!G42</f>
        <v>100</v>
      </c>
      <c r="C153" s="44" t="str">
        <f>+C107</f>
        <v>FY 24-25 Proposed</v>
      </c>
      <c r="D153" s="422">
        <f>SUM(D155:D159)</f>
        <v>7000</v>
      </c>
      <c r="E153" s="977">
        <f>SUM(D153-B153)/B153</f>
        <v>69</v>
      </c>
      <c r="G153" s="570" t="s">
        <v>506</v>
      </c>
      <c r="H153" s="50">
        <v>0</v>
      </c>
      <c r="I153" s="17" t="s">
        <v>515</v>
      </c>
      <c r="J153" s="17"/>
    </row>
    <row r="154" spans="1:10" ht="13.5" thickTop="1">
      <c r="A154" s="414"/>
      <c r="B154" s="24"/>
      <c r="C154" s="24"/>
      <c r="D154" s="93"/>
      <c r="E154" s="424"/>
      <c r="G154" s="570" t="s">
        <v>507</v>
      </c>
      <c r="H154" s="50">
        <v>5485.4</v>
      </c>
      <c r="I154" s="17" t="s">
        <v>514</v>
      </c>
      <c r="J154" s="17"/>
    </row>
    <row r="155" spans="1:10" ht="13.5" thickBot="1">
      <c r="A155" s="313" t="s">
        <v>218</v>
      </c>
      <c r="B155" s="111">
        <f>+'YE Projections'!C42</f>
        <v>0</v>
      </c>
      <c r="C155" s="44" t="s">
        <v>593</v>
      </c>
      <c r="D155" s="415">
        <v>7000</v>
      </c>
      <c r="E155" s="424" t="s">
        <v>1042</v>
      </c>
      <c r="G155" s="570" t="s">
        <v>508</v>
      </c>
      <c r="H155" s="50">
        <v>0</v>
      </c>
      <c r="I155" s="17" t="s">
        <v>515</v>
      </c>
      <c r="J155" s="17"/>
    </row>
    <row r="156" spans="1:10" ht="13.5" thickTop="1">
      <c r="A156" s="313"/>
      <c r="B156" s="32"/>
      <c r="C156" s="44"/>
      <c r="D156" s="415"/>
      <c r="E156" s="424"/>
      <c r="G156" s="45" t="s">
        <v>509</v>
      </c>
      <c r="H156" s="22">
        <v>966.04</v>
      </c>
      <c r="I156" s="17" t="s">
        <v>642</v>
      </c>
      <c r="J156" s="17"/>
    </row>
    <row r="157" spans="1:10">
      <c r="A157" s="443" t="s">
        <v>407</v>
      </c>
      <c r="B157" s="43">
        <v>0</v>
      </c>
      <c r="C157" s="24"/>
      <c r="D157" s="93"/>
      <c r="E157" s="424"/>
      <c r="G157" s="570" t="s">
        <v>599</v>
      </c>
      <c r="H157" s="50">
        <f>+B158</f>
        <v>0</v>
      </c>
      <c r="I157" s="17" t="s">
        <v>515</v>
      </c>
      <c r="J157" s="17"/>
    </row>
    <row r="158" spans="1:10" ht="13.5" thickBot="1">
      <c r="A158" s="294" t="str">
        <f>+'YE Projections'!$F$3</f>
        <v>6/30/2024 Projection</v>
      </c>
      <c r="B158" s="111">
        <f>+B157</f>
        <v>0</v>
      </c>
      <c r="C158" s="24"/>
      <c r="D158" s="93"/>
      <c r="E158" s="424"/>
      <c r="I158" s="2" t="s">
        <v>668</v>
      </c>
      <c r="J158" s="17"/>
    </row>
    <row r="159" spans="1:10" ht="14.25" thickTop="1" thickBot="1">
      <c r="A159" s="449"/>
      <c r="B159" s="301"/>
      <c r="C159" s="301"/>
      <c r="D159" s="426"/>
      <c r="E159" s="427"/>
      <c r="J159" s="17"/>
    </row>
    <row r="160" spans="1:10" ht="13.5" thickBot="1">
      <c r="A160" s="28"/>
      <c r="B160" s="24"/>
      <c r="C160" s="24"/>
      <c r="D160" s="93"/>
      <c r="E160" s="428"/>
      <c r="I160" s="17"/>
      <c r="J160" s="17"/>
    </row>
    <row r="161" spans="1:10" ht="15">
      <c r="A161" s="1080" t="s">
        <v>32</v>
      </c>
      <c r="B161" s="1085"/>
      <c r="C161" s="1085"/>
      <c r="D161" s="1085"/>
      <c r="E161" s="1086"/>
      <c r="G161" s="45" t="s">
        <v>501</v>
      </c>
      <c r="H161" s="50" t="s">
        <v>32</v>
      </c>
      <c r="I161" s="17"/>
      <c r="J161" s="17"/>
    </row>
    <row r="162" spans="1:10" ht="15">
      <c r="A162" s="312"/>
      <c r="B162" s="601"/>
      <c r="C162" s="601"/>
      <c r="D162" s="420"/>
      <c r="E162" s="421"/>
      <c r="G162" s="570" t="s">
        <v>505</v>
      </c>
      <c r="H162" s="50">
        <v>14468.98</v>
      </c>
      <c r="I162" s="17" t="s">
        <v>671</v>
      </c>
      <c r="J162" s="17"/>
    </row>
    <row r="163" spans="1:10" ht="13.5" thickBot="1">
      <c r="A163" s="293" t="str">
        <f>+'YE Projections'!$G$3</f>
        <v>FY 23-24 Budget</v>
      </c>
      <c r="B163" s="111">
        <f>+'YE Projections'!G43</f>
        <v>18000</v>
      </c>
      <c r="C163" s="115" t="str">
        <f>+C107</f>
        <v>FY 24-25 Proposed</v>
      </c>
      <c r="D163" s="445">
        <f>SUM(D165:D168)</f>
        <v>19200</v>
      </c>
      <c r="E163" s="977">
        <f>SUM(D163-B163)/B163</f>
        <v>6.6666666666666666E-2</v>
      </c>
      <c r="G163" s="570" t="s">
        <v>506</v>
      </c>
      <c r="H163" s="50">
        <v>14530.94</v>
      </c>
      <c r="I163" s="652">
        <f>SUM(H163-H162)/H163</f>
        <v>4.2640049439334922E-3</v>
      </c>
      <c r="J163" s="17"/>
    </row>
    <row r="164" spans="1:10" ht="13.5" thickTop="1">
      <c r="A164" s="414"/>
      <c r="B164" s="28"/>
      <c r="C164" s="28"/>
      <c r="D164" s="436"/>
      <c r="E164" s="383"/>
      <c r="G164" s="570" t="s">
        <v>507</v>
      </c>
      <c r="H164" s="50">
        <v>14162.49</v>
      </c>
      <c r="I164" s="652">
        <f t="shared" ref="I164:I166" si="9">SUM(H164-H163)/H164</f>
        <v>-2.6015905395167144E-2</v>
      </c>
      <c r="J164" s="17" t="s">
        <v>504</v>
      </c>
    </row>
    <row r="165" spans="1:10">
      <c r="A165" s="313" t="s">
        <v>418</v>
      </c>
      <c r="B165" s="22">
        <f>+'YE Projections'!C43</f>
        <v>14521.84</v>
      </c>
      <c r="C165" s="115"/>
      <c r="D165" s="29">
        <f>1600*12</f>
        <v>19200</v>
      </c>
      <c r="E165" s="383" t="s">
        <v>1002</v>
      </c>
      <c r="G165" s="570" t="s">
        <v>508</v>
      </c>
      <c r="H165" s="50">
        <v>14605.93</v>
      </c>
      <c r="I165" s="652">
        <f t="shared" si="9"/>
        <v>3.0360271478776121E-2</v>
      </c>
      <c r="J165" s="17"/>
    </row>
    <row r="166" spans="1:10" ht="13.5" thickBot="1">
      <c r="A166" s="313" t="s">
        <v>218</v>
      </c>
      <c r="B166" s="444">
        <f>+B165</f>
        <v>14521.84</v>
      </c>
      <c r="C166" s="524"/>
      <c r="D166" s="436"/>
      <c r="E166" s="383" t="s">
        <v>666</v>
      </c>
      <c r="G166" s="45" t="s">
        <v>509</v>
      </c>
      <c r="H166" s="22">
        <v>15579.95</v>
      </c>
      <c r="I166" s="652">
        <f t="shared" si="9"/>
        <v>6.251753054406467E-2</v>
      </c>
    </row>
    <row r="167" spans="1:10" ht="13.5" thickTop="1">
      <c r="A167" s="414"/>
      <c r="B167" s="446"/>
      <c r="C167" s="28"/>
      <c r="D167" s="436"/>
      <c r="E167" s="383"/>
      <c r="G167" s="45" t="s">
        <v>587</v>
      </c>
      <c r="H167" s="22">
        <f>AVERAGE(H162:H166)</f>
        <v>14669.657999999999</v>
      </c>
      <c r="I167" s="17"/>
      <c r="J167" s="17"/>
    </row>
    <row r="168" spans="1:10">
      <c r="A168" s="443" t="s">
        <v>407</v>
      </c>
      <c r="B168" s="22">
        <f>18000-B166</f>
        <v>3478.16</v>
      </c>
      <c r="C168" s="447"/>
      <c r="D168" s="573"/>
      <c r="E168" s="383"/>
      <c r="G168" s="24"/>
      <c r="H168" s="22"/>
      <c r="I168" s="17"/>
      <c r="J168" s="17"/>
    </row>
    <row r="169" spans="1:10" ht="13.5" thickBot="1">
      <c r="A169" s="294" t="str">
        <f>+'YE Projections'!$F$3</f>
        <v>6/30/2024 Projection</v>
      </c>
      <c r="B169" s="444">
        <f>+B166+B168</f>
        <v>18000</v>
      </c>
      <c r="C169" s="442"/>
      <c r="D169" s="448"/>
      <c r="E169" s="383"/>
      <c r="G169" s="570" t="s">
        <v>599</v>
      </c>
      <c r="H169" s="50">
        <f>+B166</f>
        <v>14521.84</v>
      </c>
      <c r="I169" s="655">
        <f>SUM(H169-H166)/H169</f>
        <v>-7.2863356158723733E-2</v>
      </c>
      <c r="J169" s="17" t="s">
        <v>673</v>
      </c>
    </row>
    <row r="170" spans="1:10" ht="14.25" thickTop="1" thickBot="1">
      <c r="A170" s="449"/>
      <c r="B170" s="450"/>
      <c r="C170" s="451"/>
      <c r="D170" s="452"/>
      <c r="E170" s="453"/>
      <c r="I170" s="17"/>
      <c r="J170" s="17"/>
    </row>
    <row r="171" spans="1:10" ht="13.5" thickBot="1">
      <c r="A171" s="454"/>
      <c r="B171" s="22"/>
      <c r="C171" s="56"/>
      <c r="D171" s="455"/>
      <c r="E171" s="456"/>
      <c r="I171" s="17"/>
      <c r="J171" s="17"/>
    </row>
    <row r="172" spans="1:10" ht="15">
      <c r="A172" s="1090" t="s">
        <v>33</v>
      </c>
      <c r="B172" s="1091"/>
      <c r="C172" s="1091"/>
      <c r="D172" s="1091"/>
      <c r="E172" s="1092"/>
      <c r="G172" s="45" t="s">
        <v>501</v>
      </c>
      <c r="H172" s="50" t="s">
        <v>33</v>
      </c>
      <c r="I172" s="17"/>
      <c r="J172" s="17"/>
    </row>
    <row r="173" spans="1:10" ht="15">
      <c r="A173" s="312"/>
      <c r="B173" s="457"/>
      <c r="C173" s="457"/>
      <c r="D173" s="458"/>
      <c r="E173" s="459"/>
      <c r="G173" s="570" t="s">
        <v>505</v>
      </c>
      <c r="H173" s="50">
        <v>385.09</v>
      </c>
      <c r="I173" s="17" t="s">
        <v>671</v>
      </c>
      <c r="J173" s="17"/>
    </row>
    <row r="174" spans="1:10" ht="13.5" thickBot="1">
      <c r="A174" s="293" t="str">
        <f>+'YE Projections'!$G$3</f>
        <v>FY 23-24 Budget</v>
      </c>
      <c r="B174" s="111">
        <f>+'YE Projections'!G44</f>
        <v>660</v>
      </c>
      <c r="C174" s="115" t="str">
        <f>+C119</f>
        <v>FY 24-25 Proposed</v>
      </c>
      <c r="D174" s="460">
        <f>SUM(D176:D180)</f>
        <v>720</v>
      </c>
      <c r="E174" s="977">
        <f>SUM(D174-B174)/B174</f>
        <v>9.0909090909090912E-2</v>
      </c>
      <c r="G174" s="570" t="s">
        <v>506</v>
      </c>
      <c r="H174" s="50">
        <v>357.65</v>
      </c>
      <c r="I174" s="652">
        <f>SUM(H174-H173)/H174</f>
        <v>-7.6723053264364599E-2</v>
      </c>
      <c r="J174" s="17" t="s">
        <v>504</v>
      </c>
    </row>
    <row r="175" spans="1:10" ht="13.5" thickTop="1">
      <c r="A175" s="414"/>
      <c r="B175" s="28"/>
      <c r="C175" s="28"/>
      <c r="D175" s="436"/>
      <c r="E175" s="383"/>
      <c r="G175" s="570" t="s">
        <v>507</v>
      </c>
      <c r="H175" s="50">
        <v>404.58</v>
      </c>
      <c r="I175" s="652">
        <f t="shared" ref="I175:I177" si="10">SUM(H175-H174)/H175</f>
        <v>0.11599683622522124</v>
      </c>
      <c r="J175" s="17"/>
    </row>
    <row r="176" spans="1:10">
      <c r="A176" s="313" t="s">
        <v>463</v>
      </c>
      <c r="B176" s="461">
        <f>+'YE Projections'!C44</f>
        <v>640.95000000000005</v>
      </c>
      <c r="C176" s="115"/>
      <c r="D176" s="29">
        <f>60*12</f>
        <v>720</v>
      </c>
      <c r="E176" s="383" t="s">
        <v>1001</v>
      </c>
      <c r="G176" s="570" t="s">
        <v>508</v>
      </c>
      <c r="H176" s="50">
        <v>582.48</v>
      </c>
      <c r="I176" s="652">
        <f t="shared" si="10"/>
        <v>0.30541821178409562</v>
      </c>
      <c r="J176" s="17"/>
    </row>
    <row r="177" spans="1:10" ht="13.5" thickBot="1">
      <c r="A177" s="313" t="s">
        <v>218</v>
      </c>
      <c r="B177" s="117">
        <f>SUM(B176)</f>
        <v>640.95000000000005</v>
      </c>
      <c r="C177" s="115"/>
      <c r="D177" s="455"/>
      <c r="E177" s="66"/>
      <c r="G177" s="45" t="s">
        <v>509</v>
      </c>
      <c r="H177" s="22">
        <v>615.75</v>
      </c>
      <c r="I177" s="652">
        <f t="shared" si="10"/>
        <v>5.4031668696711298E-2</v>
      </c>
      <c r="J177" s="17"/>
    </row>
    <row r="178" spans="1:10" ht="13.5" thickTop="1">
      <c r="A178" s="313"/>
      <c r="B178" s="56"/>
      <c r="C178" s="28"/>
      <c r="D178" s="436"/>
      <c r="E178" s="383"/>
      <c r="G178" s="45" t="s">
        <v>587</v>
      </c>
      <c r="H178" s="22">
        <f>AVERAGE(H173:H177)</f>
        <v>469.11</v>
      </c>
      <c r="I178" s="17"/>
      <c r="J178" s="17"/>
    </row>
    <row r="179" spans="1:10">
      <c r="A179" s="443" t="s">
        <v>407</v>
      </c>
      <c r="B179" s="22">
        <v>52.85</v>
      </c>
      <c r="C179" s="456"/>
      <c r="D179" s="436"/>
      <c r="E179" s="383"/>
      <c r="G179" s="24"/>
      <c r="H179" s="22"/>
      <c r="I179" s="17"/>
      <c r="J179" s="17"/>
    </row>
    <row r="180" spans="1:10" ht="13.5" thickBot="1">
      <c r="A180" s="294" t="str">
        <f>+'YE Projections'!$F$3</f>
        <v>6/30/2024 Projection</v>
      </c>
      <c r="B180" s="117">
        <f>+B177+B179</f>
        <v>693.80000000000007</v>
      </c>
      <c r="C180" s="442"/>
      <c r="D180" s="436"/>
      <c r="E180" s="383"/>
      <c r="G180" s="570" t="s">
        <v>599</v>
      </c>
      <c r="H180" s="50">
        <f>+B180</f>
        <v>693.80000000000007</v>
      </c>
      <c r="I180" s="655">
        <f>SUM(H180-H177)/H180</f>
        <v>0.11249639665609694</v>
      </c>
      <c r="J180" s="17"/>
    </row>
    <row r="181" spans="1:10" ht="14.25" thickTop="1" thickBot="1">
      <c r="A181" s="462"/>
      <c r="B181" s="451"/>
      <c r="C181" s="450"/>
      <c r="D181" s="463"/>
      <c r="E181" s="453"/>
      <c r="I181" s="17"/>
      <c r="J181" s="17"/>
    </row>
    <row r="182" spans="1:10" ht="13.5" thickBot="1">
      <c r="A182" s="115"/>
      <c r="B182" s="56"/>
      <c r="C182" s="28"/>
      <c r="D182" s="436"/>
      <c r="E182" s="464"/>
      <c r="I182" s="17"/>
      <c r="J182" s="17"/>
    </row>
    <row r="183" spans="1:10" ht="15">
      <c r="A183" s="1090" t="s">
        <v>34</v>
      </c>
      <c r="B183" s="1091"/>
      <c r="C183" s="1091"/>
      <c r="D183" s="1091"/>
      <c r="E183" s="1092"/>
      <c r="G183" s="45" t="s">
        <v>501</v>
      </c>
      <c r="H183" s="50" t="s">
        <v>34</v>
      </c>
      <c r="I183" s="17"/>
      <c r="J183" s="17"/>
    </row>
    <row r="184" spans="1:10" ht="15">
      <c r="A184" s="312"/>
      <c r="B184" s="457"/>
      <c r="C184" s="457"/>
      <c r="D184" s="458"/>
      <c r="E184" s="459"/>
      <c r="G184" s="570" t="s">
        <v>505</v>
      </c>
      <c r="H184" s="50">
        <v>4862</v>
      </c>
      <c r="I184" s="17" t="s">
        <v>671</v>
      </c>
      <c r="J184" s="17"/>
    </row>
    <row r="185" spans="1:10" ht="13.5" thickBot="1">
      <c r="A185" s="293" t="str">
        <f>+'YE Projections'!$G$3</f>
        <v>FY 23-24 Budget</v>
      </c>
      <c r="B185" s="111">
        <f>+'YE Projections'!G45</f>
        <v>7000</v>
      </c>
      <c r="C185" s="115" t="str">
        <f>+C174</f>
        <v>FY 24-25 Proposed</v>
      </c>
      <c r="D185" s="460">
        <f>SUM(D187:D192)</f>
        <v>8000</v>
      </c>
      <c r="E185" s="977">
        <f>SUM(D185-B185)/B185</f>
        <v>0.14285714285714285</v>
      </c>
      <c r="G185" s="570" t="s">
        <v>506</v>
      </c>
      <c r="H185" s="50">
        <v>4990</v>
      </c>
      <c r="I185" s="652">
        <f>SUM(H185-H184)/H185</f>
        <v>2.5651302605210421E-2</v>
      </c>
      <c r="J185" s="17"/>
    </row>
    <row r="186" spans="1:10" ht="13.5" thickTop="1">
      <c r="A186" s="414"/>
      <c r="B186" s="28"/>
      <c r="C186" s="28"/>
      <c r="D186" s="436"/>
      <c r="E186" s="383"/>
      <c r="G186" s="570" t="s">
        <v>507</v>
      </c>
      <c r="H186" s="50">
        <v>4820</v>
      </c>
      <c r="I186" s="652">
        <f t="shared" ref="I186:I189" si="11">SUM(H186-H185)/H186</f>
        <v>-3.5269709543568464E-2</v>
      </c>
      <c r="J186" s="17"/>
    </row>
    <row r="187" spans="1:10">
      <c r="A187" s="313" t="s">
        <v>162</v>
      </c>
      <c r="B187" s="22">
        <v>2407</v>
      </c>
      <c r="C187" s="115" t="s">
        <v>162</v>
      </c>
      <c r="D187" s="29">
        <f>ROUND(+B187*1.2,0)+12</f>
        <v>2900</v>
      </c>
      <c r="E187" s="528" t="s">
        <v>162</v>
      </c>
      <c r="G187" s="570" t="s">
        <v>508</v>
      </c>
      <c r="H187" s="50">
        <v>5412</v>
      </c>
      <c r="I187" s="652">
        <f t="shared" si="11"/>
        <v>0.10938654841093866</v>
      </c>
      <c r="J187" s="17"/>
    </row>
    <row r="188" spans="1:10">
      <c r="A188" s="313" t="s">
        <v>234</v>
      </c>
      <c r="B188" s="22">
        <v>175</v>
      </c>
      <c r="C188" s="115" t="s">
        <v>234</v>
      </c>
      <c r="D188" s="29">
        <f>ROUND(+B188*1.2,0)</f>
        <v>210</v>
      </c>
      <c r="E188" s="528" t="s">
        <v>234</v>
      </c>
      <c r="G188" s="45" t="s">
        <v>509</v>
      </c>
      <c r="H188" s="22">
        <v>5338.5</v>
      </c>
      <c r="I188" s="652">
        <f t="shared" si="11"/>
        <v>-1.3767912334925541E-2</v>
      </c>
      <c r="J188" s="17"/>
    </row>
    <row r="189" spans="1:10">
      <c r="A189" s="313" t="s">
        <v>163</v>
      </c>
      <c r="B189" s="22">
        <v>3913</v>
      </c>
      <c r="C189" s="115" t="s">
        <v>163</v>
      </c>
      <c r="D189" s="29">
        <f>ROUND(+B189*1.2,0)+4</f>
        <v>4700</v>
      </c>
      <c r="E189" s="528" t="s">
        <v>163</v>
      </c>
      <c r="G189" s="570" t="s">
        <v>599</v>
      </c>
      <c r="H189" s="50">
        <f>+B191</f>
        <v>6647</v>
      </c>
      <c r="I189" s="652">
        <f t="shared" si="11"/>
        <v>0.19685572438694149</v>
      </c>
      <c r="J189" s="17"/>
    </row>
    <row r="190" spans="1:10">
      <c r="A190" s="313" t="s">
        <v>164</v>
      </c>
      <c r="B190" s="22">
        <v>152</v>
      </c>
      <c r="C190" s="115" t="s">
        <v>164</v>
      </c>
      <c r="D190" s="29">
        <f>ROUND(+B190*1.2,0)+8</f>
        <v>190</v>
      </c>
      <c r="E190" s="528" t="s">
        <v>164</v>
      </c>
      <c r="G190" s="2" t="s">
        <v>668</v>
      </c>
      <c r="H190" s="22"/>
      <c r="J190" s="17"/>
    </row>
    <row r="191" spans="1:10" ht="13.5" thickBot="1">
      <c r="A191" s="294" t="str">
        <f>+'YE Projections'!$F$3</f>
        <v>6/30/2024 Projection</v>
      </c>
      <c r="B191" s="117">
        <f>SUM(B187:B190)</f>
        <v>6647</v>
      </c>
      <c r="C191" s="24"/>
      <c r="D191" s="436"/>
      <c r="E191" s="528" t="s">
        <v>594</v>
      </c>
      <c r="I191" s="661"/>
      <c r="J191" s="17"/>
    </row>
    <row r="192" spans="1:10" ht="13.5" thickTop="1">
      <c r="A192" s="414"/>
      <c r="B192" s="465"/>
      <c r="C192" s="442"/>
      <c r="D192" s="436"/>
      <c r="E192" s="383"/>
      <c r="I192" s="17"/>
      <c r="J192" s="17"/>
    </row>
    <row r="193" spans="1:16" ht="64.5" customHeight="1" thickBot="1">
      <c r="A193" s="1093" t="s">
        <v>1030</v>
      </c>
      <c r="B193" s="1094"/>
      <c r="C193" s="1094"/>
      <c r="D193" s="1094"/>
      <c r="E193" s="1095"/>
      <c r="I193" s="17"/>
      <c r="J193" s="17"/>
    </row>
    <row r="194" spans="1:16" ht="13.5" thickBot="1">
      <c r="A194" s="115"/>
      <c r="B194" s="56"/>
      <c r="C194" s="28"/>
      <c r="D194" s="436"/>
      <c r="E194" s="456"/>
      <c r="I194" s="17"/>
      <c r="J194" s="17"/>
    </row>
    <row r="195" spans="1:16" ht="15">
      <c r="A195" s="1090" t="s">
        <v>35</v>
      </c>
      <c r="B195" s="1091"/>
      <c r="C195" s="1091"/>
      <c r="D195" s="1091"/>
      <c r="E195" s="1092"/>
      <c r="G195" s="45" t="s">
        <v>501</v>
      </c>
      <c r="H195" s="50" t="s">
        <v>35</v>
      </c>
      <c r="I195" s="17"/>
      <c r="J195" s="17"/>
    </row>
    <row r="196" spans="1:16" ht="15">
      <c r="A196" s="312"/>
      <c r="B196" s="457"/>
      <c r="C196" s="457"/>
      <c r="D196" s="458"/>
      <c r="E196" s="459"/>
      <c r="G196" s="570" t="s">
        <v>505</v>
      </c>
      <c r="H196" s="50">
        <v>3600</v>
      </c>
      <c r="I196" s="17"/>
      <c r="J196" s="17"/>
    </row>
    <row r="197" spans="1:16" ht="13.5" thickBot="1">
      <c r="A197" s="293" t="str">
        <f>+'YE Projections'!$G$3</f>
        <v>FY 23-24 Budget</v>
      </c>
      <c r="B197" s="111">
        <f>+'YE Projections'!G46</f>
        <v>3600</v>
      </c>
      <c r="C197" s="115" t="str">
        <f>+C107</f>
        <v>FY 24-25 Proposed</v>
      </c>
      <c r="D197" s="460">
        <f>SUM(D199:D203)</f>
        <v>3600</v>
      </c>
      <c r="E197" s="977">
        <f>SUM(D197-B197)/B197</f>
        <v>0</v>
      </c>
      <c r="G197" s="570" t="s">
        <v>506</v>
      </c>
      <c r="H197" s="50">
        <v>3600</v>
      </c>
      <c r="I197" s="17"/>
      <c r="J197" s="17"/>
    </row>
    <row r="198" spans="1:16" ht="13.5" thickTop="1">
      <c r="A198" s="414"/>
      <c r="B198" s="28"/>
      <c r="C198" s="28"/>
      <c r="D198" s="436"/>
      <c r="E198" s="383"/>
      <c r="G198" s="570" t="s">
        <v>507</v>
      </c>
      <c r="H198" s="50">
        <v>3600</v>
      </c>
      <c r="I198" s="608"/>
      <c r="J198" s="50"/>
      <c r="K198" s="42"/>
      <c r="L198" s="42"/>
      <c r="M198" s="42"/>
      <c r="N198" s="43"/>
      <c r="O198" s="43"/>
      <c r="P198" s="42"/>
    </row>
    <row r="199" spans="1:16">
      <c r="A199" s="313" t="s">
        <v>464</v>
      </c>
      <c r="B199" s="461">
        <f>+'YE Projections'!C46</f>
        <v>3300</v>
      </c>
      <c r="C199" s="115"/>
      <c r="D199" s="29">
        <f>300*12</f>
        <v>3600</v>
      </c>
      <c r="E199" s="383" t="s">
        <v>1000</v>
      </c>
      <c r="G199" s="570" t="s">
        <v>508</v>
      </c>
      <c r="H199" s="50">
        <v>3600</v>
      </c>
      <c r="I199" s="608"/>
      <c r="J199" s="50"/>
      <c r="K199" s="42"/>
      <c r="L199" s="42"/>
      <c r="M199" s="42"/>
      <c r="N199" s="43"/>
      <c r="O199" s="43"/>
      <c r="P199" s="42"/>
    </row>
    <row r="200" spans="1:16" ht="13.5" thickBot="1">
      <c r="A200" s="313" t="s">
        <v>218</v>
      </c>
      <c r="B200" s="117">
        <f>+B199</f>
        <v>3300</v>
      </c>
      <c r="C200" s="442"/>
      <c r="D200" s="29"/>
      <c r="E200" s="383"/>
      <c r="G200" s="45" t="s">
        <v>509</v>
      </c>
      <c r="H200" s="22">
        <v>3600</v>
      </c>
      <c r="J200" s="50"/>
      <c r="K200" s="42"/>
      <c r="L200" s="42"/>
      <c r="M200" s="42"/>
      <c r="N200" s="43"/>
      <c r="O200" s="43"/>
      <c r="P200" s="42"/>
    </row>
    <row r="201" spans="1:16" ht="13.5" thickTop="1">
      <c r="A201" s="313"/>
      <c r="B201" s="56"/>
      <c r="C201" s="115"/>
      <c r="D201" s="29"/>
      <c r="E201" s="383"/>
      <c r="G201" s="570" t="s">
        <v>599</v>
      </c>
      <c r="H201" s="50">
        <f>+B200</f>
        <v>3300</v>
      </c>
      <c r="I201" s="608"/>
      <c r="J201" s="17"/>
      <c r="O201" s="43"/>
      <c r="P201" s="42"/>
    </row>
    <row r="202" spans="1:16">
      <c r="A202" s="443" t="str">
        <f>+A126</f>
        <v>Anticipated through June 30</v>
      </c>
      <c r="B202" s="43">
        <f>3600-B200</f>
        <v>300</v>
      </c>
      <c r="C202" s="24"/>
      <c r="D202" s="93"/>
      <c r="E202" s="424"/>
      <c r="G202" s="2" t="s">
        <v>668</v>
      </c>
      <c r="I202" s="17"/>
      <c r="J202" s="17"/>
      <c r="O202" s="43"/>
      <c r="P202" s="42"/>
    </row>
    <row r="203" spans="1:16" ht="13.5" thickBot="1">
      <c r="A203" s="294" t="str">
        <f>+'YE Projections'!$F$3</f>
        <v>6/30/2024 Projection</v>
      </c>
      <c r="B203" s="111">
        <f>+B200+B202</f>
        <v>3600</v>
      </c>
      <c r="C203" s="24"/>
      <c r="D203" s="93"/>
      <c r="E203" s="424"/>
      <c r="I203" s="17"/>
      <c r="J203" s="17"/>
      <c r="O203" s="43"/>
      <c r="P203" s="42"/>
    </row>
    <row r="204" spans="1:16" ht="14.25" thickTop="1" thickBot="1">
      <c r="A204" s="462"/>
      <c r="B204" s="307"/>
      <c r="C204" s="301"/>
      <c r="D204" s="426"/>
      <c r="E204" s="427"/>
      <c r="I204" s="17"/>
      <c r="J204" s="17"/>
      <c r="O204" s="5"/>
      <c r="P204" s="42"/>
    </row>
    <row r="205" spans="1:16" ht="13.5" thickBot="1">
      <c r="A205" s="115"/>
      <c r="B205" s="32"/>
      <c r="C205" s="24"/>
      <c r="D205" s="93"/>
      <c r="E205" s="433"/>
      <c r="I205" s="17"/>
      <c r="J205" s="17"/>
    </row>
    <row r="206" spans="1:16" ht="15.75">
      <c r="A206" s="1087" t="s">
        <v>36</v>
      </c>
      <c r="B206" s="1096"/>
      <c r="C206" s="1096"/>
      <c r="D206" s="1096"/>
      <c r="E206" s="1097"/>
      <c r="G206" s="45" t="s">
        <v>501</v>
      </c>
      <c r="H206" s="50" t="s">
        <v>36</v>
      </c>
      <c r="I206" s="17"/>
      <c r="J206" s="17"/>
    </row>
    <row r="207" spans="1:16" ht="15.75">
      <c r="A207" s="466"/>
      <c r="B207" s="310"/>
      <c r="C207" s="310"/>
      <c r="D207" s="435"/>
      <c r="E207" s="421"/>
      <c r="G207" s="570" t="s">
        <v>505</v>
      </c>
      <c r="H207" s="50">
        <v>251.88</v>
      </c>
      <c r="I207" s="17" t="s">
        <v>671</v>
      </c>
      <c r="J207" s="17"/>
    </row>
    <row r="208" spans="1:16" ht="13.5" thickBot="1">
      <c r="A208" s="293" t="str">
        <f>+'YE Projections'!$G$3</f>
        <v>FY 23-24 Budget</v>
      </c>
      <c r="B208" s="111">
        <f>+'YE Projections'!G47</f>
        <v>1100</v>
      </c>
      <c r="C208" s="44" t="str">
        <f>+C119</f>
        <v>FY 24-25 Proposed</v>
      </c>
      <c r="D208" s="434">
        <f>SUM(D210:D218)</f>
        <v>1300</v>
      </c>
      <c r="E208" s="977">
        <f>SUM(D208-B208)/B208</f>
        <v>0.18181818181818182</v>
      </c>
      <c r="G208" s="570" t="s">
        <v>506</v>
      </c>
      <c r="H208" s="50">
        <v>523.04</v>
      </c>
      <c r="I208" s="652">
        <f>SUM(H208-H207)/H208</f>
        <v>0.51843071275619457</v>
      </c>
      <c r="J208" s="17"/>
    </row>
    <row r="209" spans="1:13" ht="13.5" thickTop="1">
      <c r="A209" s="414"/>
      <c r="B209" s="24"/>
      <c r="C209" s="24"/>
      <c r="D209" s="93"/>
      <c r="E209" s="424"/>
      <c r="G209" s="570" t="s">
        <v>507</v>
      </c>
      <c r="H209" s="50">
        <v>653.62</v>
      </c>
      <c r="I209" s="652">
        <f t="shared" ref="I209:I211" si="12">SUM(H209-H208)/H209</f>
        <v>0.19977968850402381</v>
      </c>
      <c r="J209" s="17"/>
    </row>
    <row r="210" spans="1:13">
      <c r="A210" s="313" t="s">
        <v>499</v>
      </c>
      <c r="B210" s="43">
        <f>160+19.99+259.85</f>
        <v>439.84000000000003</v>
      </c>
      <c r="C210" s="44" t="s">
        <v>106</v>
      </c>
      <c r="D210" s="415">
        <v>200</v>
      </c>
      <c r="E210" s="424" t="s">
        <v>165</v>
      </c>
      <c r="G210" s="570" t="s">
        <v>508</v>
      </c>
      <c r="H210" s="50">
        <v>682.76</v>
      </c>
      <c r="I210" s="652">
        <f t="shared" si="12"/>
        <v>4.2679711758158045E-2</v>
      </c>
      <c r="J210" s="17"/>
    </row>
    <row r="211" spans="1:13">
      <c r="A211" s="313" t="s">
        <v>331</v>
      </c>
      <c r="B211" s="43">
        <f>104.93+29.98</f>
        <v>134.91</v>
      </c>
      <c r="C211" s="115" t="s">
        <v>331</v>
      </c>
      <c r="D211" s="29">
        <f>15*12</f>
        <v>180</v>
      </c>
      <c r="E211" s="383" t="s">
        <v>419</v>
      </c>
      <c r="G211" s="45" t="s">
        <v>509</v>
      </c>
      <c r="H211" s="22">
        <v>978.64</v>
      </c>
      <c r="I211" s="652">
        <f t="shared" si="12"/>
        <v>0.30233793836344314</v>
      </c>
      <c r="J211" s="17"/>
    </row>
    <row r="212" spans="1:13">
      <c r="A212" s="313" t="s">
        <v>335</v>
      </c>
      <c r="B212" s="43">
        <f>179.88+227.75-227.75</f>
        <v>179.88</v>
      </c>
      <c r="C212" s="44" t="s">
        <v>336</v>
      </c>
      <c r="D212" s="415">
        <v>250</v>
      </c>
      <c r="E212" s="424" t="s">
        <v>140</v>
      </c>
      <c r="G212" s="45" t="s">
        <v>587</v>
      </c>
      <c r="H212" s="22">
        <f>AVERAGE(H207:H211)</f>
        <v>617.98800000000006</v>
      </c>
      <c r="I212" s="17"/>
      <c r="J212" s="17"/>
    </row>
    <row r="213" spans="1:13">
      <c r="A213" s="313" t="s">
        <v>336</v>
      </c>
      <c r="B213" s="43">
        <v>240</v>
      </c>
      <c r="C213" s="44" t="s">
        <v>166</v>
      </c>
      <c r="D213" s="415">
        <v>250</v>
      </c>
      <c r="E213" s="424" t="s">
        <v>110</v>
      </c>
      <c r="G213" s="24"/>
      <c r="H213" s="22"/>
      <c r="I213" s="17"/>
      <c r="J213" s="17"/>
    </row>
    <row r="214" spans="1:13">
      <c r="A214" s="25" t="s">
        <v>546</v>
      </c>
      <c r="B214" s="5">
        <v>100</v>
      </c>
      <c r="C214" s="44" t="s">
        <v>166</v>
      </c>
      <c r="D214" s="415">
        <f>20*12</f>
        <v>240</v>
      </c>
      <c r="E214" s="424" t="s">
        <v>167</v>
      </c>
      <c r="G214" s="570" t="s">
        <v>599</v>
      </c>
      <c r="H214" s="50">
        <f>+B215</f>
        <v>1094.6300000000001</v>
      </c>
      <c r="I214" s="655">
        <f>SUM(H214-H211)/H214</f>
        <v>0.10596274540255622</v>
      </c>
      <c r="J214" s="17"/>
    </row>
    <row r="215" spans="1:13" ht="13.5" thickBot="1">
      <c r="A215" s="313" t="s">
        <v>218</v>
      </c>
      <c r="B215" s="111">
        <f>SUM(B210:B214)</f>
        <v>1094.6300000000001</v>
      </c>
      <c r="C215" s="333" t="s">
        <v>546</v>
      </c>
      <c r="D215" s="415">
        <v>100</v>
      </c>
      <c r="E215" s="424"/>
      <c r="I215" s="17"/>
      <c r="J215" s="17"/>
    </row>
    <row r="216" spans="1:13" ht="13.5" thickTop="1">
      <c r="A216" s="594"/>
      <c r="B216" s="24"/>
      <c r="C216" s="67" t="s">
        <v>603</v>
      </c>
      <c r="D216" s="415">
        <v>80</v>
      </c>
      <c r="E216" s="613" t="s">
        <v>604</v>
      </c>
      <c r="J216" s="17"/>
    </row>
    <row r="217" spans="1:13">
      <c r="A217" s="313" t="s">
        <v>407</v>
      </c>
      <c r="B217" s="32">
        <v>40</v>
      </c>
      <c r="C217" s="44"/>
      <c r="D217" s="415"/>
      <c r="E217" s="424"/>
      <c r="H217" s="50"/>
      <c r="I217" s="50"/>
      <c r="J217" s="50"/>
      <c r="K217" s="42"/>
      <c r="L217" s="42"/>
      <c r="M217" s="43"/>
    </row>
    <row r="218" spans="1:13" ht="13.5" thickBot="1">
      <c r="A218" s="294" t="str">
        <f>+'YE Projections'!$F$3</f>
        <v>6/30/2024 Projection</v>
      </c>
      <c r="B218" s="111">
        <f>SUM(B215:B217)</f>
        <v>1134.6300000000001</v>
      </c>
      <c r="C218" s="109"/>
      <c r="D218" s="43"/>
      <c r="E218" s="656"/>
      <c r="H218" s="50"/>
      <c r="I218" s="50"/>
      <c r="J218" s="50"/>
      <c r="K218" s="42"/>
      <c r="L218" s="42"/>
      <c r="M218" s="43"/>
    </row>
    <row r="219" spans="1:13" ht="14.25" thickTop="1" thickBot="1">
      <c r="A219" s="462"/>
      <c r="B219" s="307"/>
      <c r="C219" s="301"/>
      <c r="D219" s="426"/>
      <c r="E219" s="427"/>
      <c r="H219" s="50"/>
      <c r="I219" s="50"/>
      <c r="J219" s="50"/>
      <c r="K219" s="42"/>
      <c r="L219" s="42"/>
      <c r="M219" s="43"/>
    </row>
    <row r="220" spans="1:13" ht="13.5" thickBot="1">
      <c r="A220" s="115"/>
      <c r="B220" s="32"/>
      <c r="C220" s="24"/>
      <c r="D220" s="93"/>
      <c r="E220" s="428"/>
      <c r="H220" s="50"/>
      <c r="I220" s="50"/>
      <c r="J220" s="50"/>
      <c r="K220" s="42"/>
      <c r="L220" s="42"/>
      <c r="M220" s="43"/>
    </row>
    <row r="221" spans="1:13" ht="15">
      <c r="A221" s="1080" t="s">
        <v>37</v>
      </c>
      <c r="B221" s="1085"/>
      <c r="C221" s="1085"/>
      <c r="D221" s="1085"/>
      <c r="E221" s="1086"/>
      <c r="G221" s="45" t="s">
        <v>501</v>
      </c>
      <c r="H221" s="50" t="s">
        <v>37</v>
      </c>
      <c r="I221" s="17"/>
      <c r="J221" s="17"/>
    </row>
    <row r="222" spans="1:13" ht="15">
      <c r="A222" s="312"/>
      <c r="B222" s="601"/>
      <c r="C222" s="601"/>
      <c r="D222" s="420"/>
      <c r="E222" s="421"/>
      <c r="G222" s="570" t="s">
        <v>505</v>
      </c>
      <c r="H222" s="50">
        <v>12334.98</v>
      </c>
      <c r="I222" s="17" t="s">
        <v>671</v>
      </c>
      <c r="J222" s="17"/>
    </row>
    <row r="223" spans="1:13" ht="13.5" thickBot="1">
      <c r="A223" s="293" t="str">
        <f>+'YE Projections'!$G$3</f>
        <v>FY 23-24 Budget</v>
      </c>
      <c r="B223" s="111">
        <f>+'YE Projections'!G48</f>
        <v>16000</v>
      </c>
      <c r="C223" s="44" t="str">
        <f>+$C$3</f>
        <v>FY 24-25 Proposed</v>
      </c>
      <c r="D223" s="422">
        <f>SUM(D225:D227)</f>
        <v>18200</v>
      </c>
      <c r="E223" s="977">
        <f>SUM(D223-B223)/B223</f>
        <v>0.13750000000000001</v>
      </c>
      <c r="G223" s="570" t="s">
        <v>506</v>
      </c>
      <c r="H223" s="50">
        <v>13386.74</v>
      </c>
      <c r="I223" s="652">
        <f>SUM(H223-H222)/H223</f>
        <v>7.8567298685116777E-2</v>
      </c>
    </row>
    <row r="224" spans="1:13" ht="13.5" thickTop="1">
      <c r="A224" s="414"/>
      <c r="B224" s="24"/>
      <c r="C224" s="24"/>
      <c r="D224" s="93"/>
      <c r="E224" s="424"/>
      <c r="G224" s="570" t="s">
        <v>507</v>
      </c>
      <c r="H224" s="50">
        <v>14122.67</v>
      </c>
      <c r="I224" s="652">
        <f t="shared" ref="I224:I227" si="13">SUM(H224-H223)/H224</f>
        <v>5.21098347550428E-2</v>
      </c>
      <c r="J224" s="17"/>
    </row>
    <row r="225" spans="1:10">
      <c r="A225" s="313" t="s">
        <v>595</v>
      </c>
      <c r="B225" s="43">
        <v>16914.25</v>
      </c>
      <c r="C225" s="43"/>
      <c r="D225" s="415">
        <v>18200</v>
      </c>
      <c r="E225" s="320" t="s">
        <v>999</v>
      </c>
      <c r="G225" s="570" t="s">
        <v>508</v>
      </c>
      <c r="H225" s="50">
        <v>14912.68</v>
      </c>
      <c r="I225" s="652">
        <f t="shared" si="13"/>
        <v>5.297572267359054E-2</v>
      </c>
      <c r="J225" s="17"/>
    </row>
    <row r="226" spans="1:10" ht="13.5" thickBot="1">
      <c r="A226" s="443" t="s">
        <v>218</v>
      </c>
      <c r="B226" s="111">
        <f>+B225</f>
        <v>16914.25</v>
      </c>
      <c r="C226" s="24"/>
      <c r="D226" s="93"/>
      <c r="E226" s="424"/>
      <c r="G226" s="45" t="s">
        <v>509</v>
      </c>
      <c r="H226" s="22">
        <v>15547.73</v>
      </c>
      <c r="I226" s="652">
        <f t="shared" si="13"/>
        <v>4.0845190905682005E-2</v>
      </c>
      <c r="J226" s="17"/>
    </row>
    <row r="227" spans="1:10" ht="13.5" thickTop="1">
      <c r="A227" s="414"/>
      <c r="B227" s="24"/>
      <c r="C227" s="24"/>
      <c r="D227" s="93"/>
      <c r="E227" s="424"/>
      <c r="G227" s="570" t="s">
        <v>599</v>
      </c>
      <c r="H227" s="50">
        <f>+B226</f>
        <v>16914.25</v>
      </c>
      <c r="I227" s="652">
        <f t="shared" si="13"/>
        <v>8.0791048967586529E-2</v>
      </c>
      <c r="J227" s="17"/>
    </row>
    <row r="228" spans="1:10" ht="13.5" thickBot="1">
      <c r="A228" s="294" t="str">
        <f>+'YE Projections'!$F$3</f>
        <v>6/30/2024 Projection</v>
      </c>
      <c r="B228" s="111">
        <f>+B225</f>
        <v>16914.25</v>
      </c>
      <c r="C228" s="442"/>
      <c r="D228" s="93"/>
      <c r="E228" s="424"/>
      <c r="G228" s="2" t="s">
        <v>668</v>
      </c>
      <c r="I228" s="17"/>
      <c r="J228" s="17"/>
    </row>
    <row r="229" spans="1:10" ht="14.25" thickTop="1" thickBot="1">
      <c r="A229" s="467"/>
      <c r="B229" s="307"/>
      <c r="C229" s="301"/>
      <c r="D229" s="426"/>
      <c r="E229" s="427"/>
      <c r="I229" s="17"/>
      <c r="J229" s="17"/>
    </row>
    <row r="230" spans="1:10" ht="13.5" thickBot="1">
      <c r="A230" s="454"/>
      <c r="B230" s="32"/>
      <c r="C230" s="24"/>
      <c r="D230" s="93"/>
      <c r="E230" s="433"/>
      <c r="I230" s="17"/>
      <c r="J230" s="17"/>
    </row>
    <row r="231" spans="1:10" ht="15">
      <c r="A231" s="1090" t="s">
        <v>38</v>
      </c>
      <c r="B231" s="1085"/>
      <c r="C231" s="1085"/>
      <c r="D231" s="1085"/>
      <c r="E231" s="1086"/>
      <c r="G231" s="45" t="s">
        <v>501</v>
      </c>
      <c r="H231" s="50" t="s">
        <v>38</v>
      </c>
      <c r="I231" s="17"/>
      <c r="J231" s="17"/>
    </row>
    <row r="232" spans="1:10" ht="15">
      <c r="A232" s="312"/>
      <c r="B232" s="601"/>
      <c r="C232" s="601"/>
      <c r="D232" s="420"/>
      <c r="E232" s="421"/>
      <c r="G232" s="570" t="s">
        <v>505</v>
      </c>
      <c r="H232" s="50">
        <v>2630.04</v>
      </c>
      <c r="I232" s="17" t="s">
        <v>669</v>
      </c>
      <c r="J232" s="17"/>
    </row>
    <row r="233" spans="1:10" ht="13.5" thickBot="1">
      <c r="A233" s="293" t="str">
        <f>+'YE Projections'!$G$3</f>
        <v>FY 23-24 Budget</v>
      </c>
      <c r="B233" s="111">
        <f>+'YE Projections'!G49</f>
        <v>2900</v>
      </c>
      <c r="C233" s="44" t="str">
        <f>+$C$3</f>
        <v>FY 24-25 Proposed</v>
      </c>
      <c r="D233" s="422">
        <f>SUM(D235:D239)</f>
        <v>3032</v>
      </c>
      <c r="E233" s="977">
        <f>SUM(D233-B233)/B233</f>
        <v>4.5517241379310347E-2</v>
      </c>
      <c r="G233" s="570" t="s">
        <v>506</v>
      </c>
      <c r="H233" s="50">
        <v>2586.9</v>
      </c>
      <c r="I233" s="652">
        <f>SUM(H233-H232)/H233</f>
        <v>-1.667633074336073E-2</v>
      </c>
      <c r="J233" s="17"/>
    </row>
    <row r="234" spans="1:10" ht="13.5" thickTop="1">
      <c r="A234" s="414"/>
      <c r="B234" s="24"/>
      <c r="C234" s="24"/>
      <c r="D234" s="93"/>
      <c r="E234" s="424"/>
      <c r="G234" s="570" t="s">
        <v>507</v>
      </c>
      <c r="H234" s="50">
        <v>2586.9</v>
      </c>
      <c r="I234" s="652">
        <f t="shared" ref="I234:I236" si="14">SUM(H234-H233)/H234</f>
        <v>0</v>
      </c>
      <c r="J234" s="17"/>
    </row>
    <row r="235" spans="1:10">
      <c r="A235" s="313" t="s">
        <v>544</v>
      </c>
      <c r="B235" s="43">
        <f>+'YE Projections'!C49</f>
        <v>2881.44</v>
      </c>
      <c r="C235" s="115" t="s">
        <v>170</v>
      </c>
      <c r="D235" s="29">
        <v>3032</v>
      </c>
      <c r="E235" s="383" t="s">
        <v>235</v>
      </c>
      <c r="G235" s="570" t="s">
        <v>508</v>
      </c>
      <c r="H235" s="50">
        <v>2638.64</v>
      </c>
      <c r="I235" s="652">
        <f t="shared" si="14"/>
        <v>1.9608586241397E-2</v>
      </c>
      <c r="J235" s="17"/>
    </row>
    <row r="236" spans="1:10" ht="13.5" thickBot="1">
      <c r="A236" s="443" t="s">
        <v>218</v>
      </c>
      <c r="B236" s="117">
        <f>+B235</f>
        <v>2881.44</v>
      </c>
      <c r="C236" s="24"/>
      <c r="D236" s="93"/>
      <c r="E236" s="424"/>
      <c r="G236" s="45" t="s">
        <v>509</v>
      </c>
      <c r="H236" s="22">
        <v>2763.97</v>
      </c>
      <c r="I236" s="652">
        <f t="shared" si="14"/>
        <v>4.5344196934120104E-2</v>
      </c>
      <c r="J236" s="17"/>
    </row>
    <row r="237" spans="1:10" ht="13.5" thickTop="1">
      <c r="A237" s="414"/>
      <c r="B237" s="311"/>
      <c r="C237" s="24"/>
      <c r="D237" s="93"/>
      <c r="E237" s="424"/>
      <c r="G237" s="45" t="s">
        <v>587</v>
      </c>
      <c r="H237" s="22">
        <f>AVERAGE(H232:H236)</f>
        <v>2641.29</v>
      </c>
      <c r="I237" s="17"/>
      <c r="J237" s="17"/>
    </row>
    <row r="238" spans="1:10" ht="13.5" thickBot="1">
      <c r="A238" s="294" t="str">
        <f>+'YE Projections'!$F$3</f>
        <v>6/30/2024 Projection</v>
      </c>
      <c r="B238" s="117">
        <f>+B236</f>
        <v>2881.44</v>
      </c>
      <c r="C238" s="442"/>
      <c r="D238" s="93"/>
      <c r="E238" s="424"/>
      <c r="G238" s="24"/>
      <c r="H238" s="22"/>
      <c r="I238" s="598"/>
      <c r="J238" s="598"/>
    </row>
    <row r="239" spans="1:10" ht="14.25" thickTop="1" thickBot="1">
      <c r="A239" s="449"/>
      <c r="B239" s="301"/>
      <c r="C239" s="301"/>
      <c r="D239" s="426"/>
      <c r="E239" s="427"/>
      <c r="G239" s="570" t="s">
        <v>599</v>
      </c>
      <c r="H239" s="50">
        <f>+B236</f>
        <v>2881.44</v>
      </c>
      <c r="I239" s="655">
        <f>SUM(H239-H236)/H239</f>
        <v>4.0767810539174942E-2</v>
      </c>
      <c r="J239" s="17"/>
    </row>
    <row r="240" spans="1:10" ht="13.5" thickBot="1">
      <c r="A240" s="28"/>
      <c r="B240" s="24"/>
      <c r="C240" s="24"/>
      <c r="D240" s="93"/>
      <c r="E240" s="433"/>
      <c r="I240" s="17"/>
      <c r="J240" s="17"/>
    </row>
    <row r="241" spans="1:10" ht="15">
      <c r="A241" s="1080" t="s">
        <v>39</v>
      </c>
      <c r="B241" s="1085"/>
      <c r="C241" s="1085"/>
      <c r="D241" s="1085"/>
      <c r="E241" s="1086"/>
      <c r="G241" s="45" t="s">
        <v>501</v>
      </c>
      <c r="H241" s="50" t="s">
        <v>39</v>
      </c>
      <c r="I241" s="17"/>
      <c r="J241" s="17"/>
    </row>
    <row r="242" spans="1:10" ht="15">
      <c r="A242" s="312"/>
      <c r="B242" s="601"/>
      <c r="C242" s="601"/>
      <c r="D242" s="420"/>
      <c r="E242" s="421"/>
      <c r="G242" s="570" t="s">
        <v>505</v>
      </c>
      <c r="H242" s="50">
        <v>5396.62</v>
      </c>
      <c r="I242" s="17"/>
      <c r="J242" s="17"/>
    </row>
    <row r="243" spans="1:10" ht="13.5" thickBot="1">
      <c r="A243" s="293" t="str">
        <f>+'YE Projections'!$G$3</f>
        <v>FY 23-24 Budget</v>
      </c>
      <c r="B243" s="111">
        <f>+'YE Projections'!G50</f>
        <v>1000</v>
      </c>
      <c r="C243" s="44" t="str">
        <f>+$C$3</f>
        <v>FY 24-25 Proposed</v>
      </c>
      <c r="D243" s="422">
        <f>SUM(D245:D249)</f>
        <v>1500</v>
      </c>
      <c r="E243" s="977">
        <f>SUM(D243-B243)/B243</f>
        <v>0.5</v>
      </c>
      <c r="G243" s="570" t="s">
        <v>506</v>
      </c>
      <c r="H243" s="50">
        <v>105</v>
      </c>
      <c r="I243" s="17"/>
      <c r="J243" s="17"/>
    </row>
    <row r="244" spans="1:10" ht="13.5" thickTop="1">
      <c r="A244" s="414"/>
      <c r="B244" s="24"/>
      <c r="C244" s="24"/>
      <c r="D244" s="93"/>
      <c r="E244" s="425"/>
      <c r="G244" s="570" t="s">
        <v>507</v>
      </c>
      <c r="H244" s="50">
        <v>330</v>
      </c>
      <c r="I244" s="17"/>
      <c r="J244" s="17"/>
    </row>
    <row r="245" spans="1:10">
      <c r="A245" s="313" t="s">
        <v>409</v>
      </c>
      <c r="B245" s="22">
        <f>+'YE Projections'!C50</f>
        <v>0</v>
      </c>
      <c r="C245" s="44" t="s">
        <v>409</v>
      </c>
      <c r="D245" s="415">
        <v>225</v>
      </c>
      <c r="E245" s="656" t="s">
        <v>622</v>
      </c>
      <c r="G245" s="570" t="s">
        <v>508</v>
      </c>
      <c r="H245" s="50">
        <v>10072.040000000001</v>
      </c>
      <c r="I245" s="17" t="s">
        <v>502</v>
      </c>
      <c r="J245" s="17"/>
    </row>
    <row r="246" spans="1:10">
      <c r="A246" s="414"/>
      <c r="B246" s="28"/>
      <c r="C246" s="43"/>
      <c r="D246" s="29">
        <f>1500-225</f>
        <v>1275</v>
      </c>
      <c r="E246" s="320" t="s">
        <v>409</v>
      </c>
      <c r="G246" s="45" t="s">
        <v>509</v>
      </c>
      <c r="H246" s="22">
        <v>225</v>
      </c>
      <c r="I246" s="17" t="s">
        <v>622</v>
      </c>
      <c r="J246" s="17"/>
    </row>
    <row r="247" spans="1:10" ht="13.5" thickBot="1">
      <c r="A247" s="443" t="s">
        <v>218</v>
      </c>
      <c r="B247" s="111">
        <f>SUM(B245:B246)</f>
        <v>0</v>
      </c>
      <c r="C247" s="24"/>
      <c r="D247" s="24"/>
      <c r="E247" s="424"/>
      <c r="G247" s="570" t="s">
        <v>599</v>
      </c>
      <c r="H247" s="50">
        <f>+B247</f>
        <v>0</v>
      </c>
      <c r="I247" s="17"/>
      <c r="J247" s="17"/>
    </row>
    <row r="248" spans="1:10" ht="13.5" thickTop="1">
      <c r="A248" s="414"/>
      <c r="B248" s="24"/>
      <c r="C248" s="24"/>
      <c r="D248" s="93"/>
      <c r="E248" s="424"/>
      <c r="G248" s="24"/>
      <c r="H248" s="22"/>
      <c r="I248" s="17"/>
      <c r="J248" s="17"/>
    </row>
    <row r="249" spans="1:10">
      <c r="A249" s="409" t="s">
        <v>407</v>
      </c>
      <c r="B249" s="22">
        <v>225</v>
      </c>
      <c r="C249" s="24"/>
      <c r="D249" s="93"/>
      <c r="E249" s="424"/>
      <c r="G249" s="2" t="s">
        <v>675</v>
      </c>
      <c r="I249" s="17"/>
      <c r="J249" s="17"/>
    </row>
    <row r="250" spans="1:10" ht="13.5" thickBot="1">
      <c r="A250" s="294" t="str">
        <f>+'YE Projections'!$F$3</f>
        <v>6/30/2024 Projection</v>
      </c>
      <c r="B250" s="111">
        <f>+B247+B249</f>
        <v>225</v>
      </c>
      <c r="C250" s="442"/>
      <c r="D250" s="93"/>
      <c r="E250" s="424"/>
      <c r="I250" s="17"/>
      <c r="J250" s="17"/>
    </row>
    <row r="251" spans="1:10" ht="14.25" thickTop="1" thickBot="1">
      <c r="A251" s="467"/>
      <c r="B251" s="307"/>
      <c r="C251" s="301"/>
      <c r="D251" s="426"/>
      <c r="E251" s="427"/>
      <c r="I251" s="17"/>
      <c r="J251" s="17"/>
    </row>
    <row r="252" spans="1:10" ht="13.5" thickBot="1">
      <c r="A252" s="454"/>
      <c r="B252" s="32"/>
      <c r="C252" s="24"/>
      <c r="D252" s="93"/>
      <c r="E252" s="433"/>
      <c r="I252" s="17"/>
      <c r="J252" s="17"/>
    </row>
    <row r="253" spans="1:10" ht="15">
      <c r="A253" s="1080" t="s">
        <v>40</v>
      </c>
      <c r="B253" s="1088"/>
      <c r="C253" s="1088"/>
      <c r="D253" s="1088"/>
      <c r="E253" s="1089"/>
      <c r="G253" s="45" t="s">
        <v>501</v>
      </c>
      <c r="H253" s="50" t="s">
        <v>40</v>
      </c>
      <c r="I253" s="17"/>
      <c r="J253" s="17"/>
    </row>
    <row r="254" spans="1:10" ht="15">
      <c r="A254" s="312"/>
      <c r="B254" s="403"/>
      <c r="C254" s="403"/>
      <c r="D254" s="429"/>
      <c r="E254" s="421"/>
      <c r="G254" s="570" t="s">
        <v>505</v>
      </c>
      <c r="H254" s="50">
        <v>920</v>
      </c>
      <c r="I254" s="17"/>
      <c r="J254" s="17"/>
    </row>
    <row r="255" spans="1:10" ht="13.5" thickBot="1">
      <c r="A255" s="293" t="str">
        <f>+'YE Projections'!$G$3</f>
        <v>FY 23-24 Budget</v>
      </c>
      <c r="B255" s="111">
        <f>+'YE Projections'!G51</f>
        <v>1000</v>
      </c>
      <c r="C255" s="44" t="s">
        <v>224</v>
      </c>
      <c r="D255" s="422">
        <f>SUM(D257:D260)</f>
        <v>2000</v>
      </c>
      <c r="E255" s="977">
        <f>SUM(D255-B255)/B255</f>
        <v>1</v>
      </c>
      <c r="G255" s="570" t="s">
        <v>506</v>
      </c>
      <c r="H255" s="50">
        <v>0</v>
      </c>
      <c r="I255" s="17"/>
      <c r="J255" s="17"/>
    </row>
    <row r="256" spans="1:10" ht="13.5" thickTop="1">
      <c r="A256" s="414"/>
      <c r="B256" s="24"/>
      <c r="C256" s="24"/>
      <c r="D256" s="93"/>
      <c r="E256" s="425"/>
      <c r="G256" s="570" t="s">
        <v>507</v>
      </c>
      <c r="H256" s="50">
        <v>559.95000000000005</v>
      </c>
      <c r="I256" s="17"/>
      <c r="J256" s="17"/>
    </row>
    <row r="257" spans="1:11" ht="13.5" thickBot="1">
      <c r="A257" s="443" t="s">
        <v>218</v>
      </c>
      <c r="B257" s="111">
        <f>+'YE Projections'!C51</f>
        <v>0</v>
      </c>
      <c r="C257" s="44" t="s">
        <v>734</v>
      </c>
      <c r="D257" s="415">
        <f>165*12</f>
        <v>1980</v>
      </c>
      <c r="E257" s="424" t="s">
        <v>735</v>
      </c>
      <c r="G257" s="570" t="s">
        <v>508</v>
      </c>
      <c r="H257" s="50">
        <v>229</v>
      </c>
      <c r="I257" s="17"/>
      <c r="J257" s="17"/>
    </row>
    <row r="258" spans="1:11" ht="13.5" thickTop="1">
      <c r="A258" s="443"/>
      <c r="B258" s="32"/>
      <c r="C258" s="44"/>
      <c r="D258" s="415">
        <v>20</v>
      </c>
      <c r="E258" s="424" t="s">
        <v>377</v>
      </c>
      <c r="G258" s="45" t="s">
        <v>509</v>
      </c>
      <c r="H258" s="22">
        <v>0</v>
      </c>
      <c r="I258" s="17"/>
      <c r="J258" s="17"/>
    </row>
    <row r="259" spans="1:11">
      <c r="A259" s="313" t="s">
        <v>407</v>
      </c>
      <c r="B259" s="43"/>
      <c r="C259" s="24"/>
      <c r="D259" s="93"/>
      <c r="E259" s="424"/>
      <c r="G259" s="45" t="s">
        <v>587</v>
      </c>
      <c r="H259" s="22">
        <f>AVERAGE(H254:H258)</f>
        <v>341.79</v>
      </c>
      <c r="I259" s="17"/>
      <c r="J259" s="17"/>
    </row>
    <row r="260" spans="1:11" ht="13.5" thickBot="1">
      <c r="A260" s="294" t="str">
        <f>+'YE Projections'!$F$3</f>
        <v>6/30/2024 Projection</v>
      </c>
      <c r="B260" s="111">
        <f>+B257+B259</f>
        <v>0</v>
      </c>
      <c r="C260" s="442"/>
      <c r="D260" s="93"/>
      <c r="E260" s="424"/>
      <c r="G260" s="24"/>
      <c r="H260" s="22"/>
      <c r="I260" s="17"/>
      <c r="J260" s="17"/>
    </row>
    <row r="261" spans="1:11" ht="14.25" thickTop="1" thickBot="1">
      <c r="A261" s="449"/>
      <c r="B261" s="301"/>
      <c r="C261" s="301"/>
      <c r="D261" s="426"/>
      <c r="E261" s="427"/>
      <c r="G261" s="570" t="s">
        <v>599</v>
      </c>
      <c r="H261" s="50">
        <f>+B257</f>
        <v>0</v>
      </c>
      <c r="I261" s="655" t="e">
        <f>SUM(H261-H258)/H261</f>
        <v>#DIV/0!</v>
      </c>
      <c r="J261" s="17"/>
    </row>
    <row r="262" spans="1:11" ht="13.5" thickBot="1">
      <c r="A262" s="28"/>
      <c r="B262" s="24"/>
      <c r="C262" s="24"/>
      <c r="D262" s="93"/>
      <c r="E262" s="433"/>
      <c r="I262" s="17"/>
      <c r="J262" s="17"/>
    </row>
    <row r="263" spans="1:11" ht="15">
      <c r="A263" s="1080" t="s">
        <v>41</v>
      </c>
      <c r="B263" s="1085"/>
      <c r="C263" s="1085"/>
      <c r="D263" s="1085"/>
      <c r="E263" s="1086"/>
      <c r="G263" s="45" t="s">
        <v>501</v>
      </c>
      <c r="H263" s="50" t="s">
        <v>41</v>
      </c>
      <c r="I263" s="17"/>
      <c r="J263" s="17"/>
      <c r="K263" s="2" t="s">
        <v>726</v>
      </c>
    </row>
    <row r="264" spans="1:11" ht="15">
      <c r="A264" s="312"/>
      <c r="B264" s="601"/>
      <c r="C264" s="601"/>
      <c r="D264" s="420"/>
      <c r="E264" s="421"/>
      <c r="G264" s="570" t="s">
        <v>505</v>
      </c>
      <c r="H264" s="50">
        <v>3531.32</v>
      </c>
      <c r="I264" s="17" t="s">
        <v>671</v>
      </c>
      <c r="J264" s="17"/>
      <c r="K264" s="2" t="s">
        <v>727</v>
      </c>
    </row>
    <row r="265" spans="1:11" ht="13.5" thickBot="1">
      <c r="A265" s="293" t="str">
        <f>+'YE Projections'!$G$3</f>
        <v>FY 23-24 Budget</v>
      </c>
      <c r="B265" s="111">
        <f>+'YE Projections'!G52</f>
        <v>4025</v>
      </c>
      <c r="C265" s="44" t="str">
        <f>+$C$3</f>
        <v>FY 24-25 Proposed</v>
      </c>
      <c r="D265" s="422">
        <f>SUM(D267:D276)</f>
        <v>4240</v>
      </c>
      <c r="E265" s="977">
        <f>SUM(D265-B265)/B265</f>
        <v>5.3416149068322982E-2</v>
      </c>
      <c r="G265" s="570" t="s">
        <v>506</v>
      </c>
      <c r="H265" s="50">
        <v>4176.1099999999997</v>
      </c>
      <c r="I265" s="652">
        <f>SUM(H265-H264)/H265</f>
        <v>0.15439966859110502</v>
      </c>
      <c r="J265" s="17"/>
      <c r="K265" s="2" t="s">
        <v>664</v>
      </c>
    </row>
    <row r="266" spans="1:11" ht="13.5" thickTop="1">
      <c r="A266" s="414"/>
      <c r="B266" s="24"/>
      <c r="C266" s="24"/>
      <c r="D266" s="93"/>
      <c r="E266" s="424"/>
      <c r="G266" s="570" t="s">
        <v>507</v>
      </c>
      <c r="H266" s="50">
        <v>3767.41</v>
      </c>
      <c r="I266" s="652">
        <f t="shared" ref="I266:I268" si="15">SUM(H266-H265)/H266</f>
        <v>-0.10848301618353187</v>
      </c>
      <c r="J266" s="17"/>
      <c r="K266" s="2" t="s">
        <v>728</v>
      </c>
    </row>
    <row r="267" spans="1:11" ht="15">
      <c r="A267" s="468" t="s">
        <v>619</v>
      </c>
      <c r="B267" s="43">
        <f>3052.31-14.98-79.99+99.99+27.45-24.95</f>
        <v>3059.83</v>
      </c>
      <c r="C267" s="115" t="s">
        <v>111</v>
      </c>
      <c r="D267" s="29">
        <v>3500</v>
      </c>
      <c r="E267" s="383" t="s">
        <v>370</v>
      </c>
      <c r="G267" s="570" t="s">
        <v>508</v>
      </c>
      <c r="H267" s="50">
        <v>3256.27</v>
      </c>
      <c r="I267" s="652">
        <f t="shared" si="15"/>
        <v>-0.15697101284598633</v>
      </c>
      <c r="J267" s="17"/>
      <c r="K267" s="665" t="s">
        <v>720</v>
      </c>
    </row>
    <row r="268" spans="1:11" ht="15">
      <c r="A268" s="313" t="s">
        <v>649</v>
      </c>
      <c r="B268" s="43"/>
      <c r="C268" s="115" t="s">
        <v>118</v>
      </c>
      <c r="D268" s="29"/>
      <c r="E268" s="383" t="s">
        <v>998</v>
      </c>
      <c r="G268" s="45" t="s">
        <v>509</v>
      </c>
      <c r="H268" s="22">
        <v>3852.16</v>
      </c>
      <c r="I268" s="652">
        <f t="shared" si="15"/>
        <v>0.15468983635155339</v>
      </c>
      <c r="J268" s="17"/>
      <c r="K268" s="666" t="s">
        <v>721</v>
      </c>
    </row>
    <row r="269" spans="1:11" ht="15">
      <c r="A269" s="313" t="s">
        <v>122</v>
      </c>
      <c r="B269" s="43">
        <v>614.4</v>
      </c>
      <c r="C269" s="115" t="s">
        <v>676</v>
      </c>
      <c r="D269" s="29">
        <v>495</v>
      </c>
      <c r="E269" s="383" t="s">
        <v>596</v>
      </c>
      <c r="G269" s="45" t="s">
        <v>587</v>
      </c>
      <c r="H269" s="22">
        <f>AVERAGE(H264:H268)</f>
        <v>3716.654</v>
      </c>
      <c r="I269" s="17"/>
      <c r="J269" s="17"/>
      <c r="K269" s="666" t="s">
        <v>722</v>
      </c>
    </row>
    <row r="270" spans="1:11" ht="15">
      <c r="A270" s="313" t="s">
        <v>705</v>
      </c>
      <c r="B270" s="43">
        <v>94</v>
      </c>
      <c r="C270" s="44" t="s">
        <v>416</v>
      </c>
      <c r="D270" s="415"/>
      <c r="E270" s="383" t="s">
        <v>998</v>
      </c>
      <c r="G270" s="24"/>
      <c r="H270" s="22"/>
      <c r="I270" s="17"/>
      <c r="K270" s="666" t="s">
        <v>723</v>
      </c>
    </row>
    <row r="271" spans="1:11" ht="15">
      <c r="A271" s="313" t="s">
        <v>458</v>
      </c>
      <c r="B271" s="43">
        <v>59</v>
      </c>
      <c r="C271" s="109" t="s">
        <v>704</v>
      </c>
      <c r="D271" s="29">
        <v>0</v>
      </c>
      <c r="E271" s="92" t="s">
        <v>659</v>
      </c>
      <c r="G271" s="570" t="s">
        <v>599</v>
      </c>
      <c r="H271" s="50">
        <f>+B273</f>
        <v>3997.23</v>
      </c>
      <c r="I271" s="655">
        <f>SUM(H271-H268)/H271</f>
        <v>3.6292632648108857E-2</v>
      </c>
      <c r="K271" s="666" t="s">
        <v>724</v>
      </c>
    </row>
    <row r="272" spans="1:11" ht="15">
      <c r="A272" s="313" t="s">
        <v>650</v>
      </c>
      <c r="B272" s="43">
        <v>170</v>
      </c>
      <c r="C272" s="115" t="s">
        <v>124</v>
      </c>
      <c r="D272" s="29"/>
      <c r="E272" s="383" t="s">
        <v>998</v>
      </c>
      <c r="I272" s="17"/>
      <c r="K272" s="665" t="s">
        <v>725</v>
      </c>
    </row>
    <row r="273" spans="1:13" ht="13.5" thickBot="1">
      <c r="A273" s="443" t="s">
        <v>218</v>
      </c>
      <c r="B273" s="101">
        <f>SUM(B267:B272)</f>
        <v>3997.23</v>
      </c>
      <c r="C273" s="115" t="s">
        <v>417</v>
      </c>
      <c r="D273" s="29"/>
      <c r="E273" s="383" t="s">
        <v>998</v>
      </c>
      <c r="F273" s="568"/>
      <c r="G273" s="42"/>
      <c r="H273" s="50"/>
      <c r="I273" s="50"/>
      <c r="L273" s="5"/>
      <c r="M273" s="42"/>
    </row>
    <row r="274" spans="1:13" ht="13.5" thickTop="1">
      <c r="A274" s="414"/>
      <c r="B274" s="43"/>
      <c r="C274" s="115" t="s">
        <v>652</v>
      </c>
      <c r="D274" s="29">
        <v>45</v>
      </c>
      <c r="E274" s="383" t="s">
        <v>597</v>
      </c>
      <c r="F274" s="568"/>
      <c r="G274" s="42"/>
      <c r="H274" s="50"/>
      <c r="I274" s="50"/>
      <c r="L274" s="5"/>
      <c r="M274" s="42"/>
    </row>
    <row r="275" spans="1:13">
      <c r="A275" s="313" t="s">
        <v>407</v>
      </c>
      <c r="B275" s="43">
        <f>+B265-H271</f>
        <v>27.769999999999982</v>
      </c>
      <c r="C275" s="115" t="s">
        <v>161</v>
      </c>
      <c r="D275" s="29">
        <v>200</v>
      </c>
      <c r="E275" s="383" t="s">
        <v>651</v>
      </c>
      <c r="F275" s="568"/>
      <c r="G275" s="42"/>
      <c r="H275" s="50"/>
      <c r="I275" s="50"/>
      <c r="L275" s="5"/>
      <c r="M275" s="42"/>
    </row>
    <row r="276" spans="1:13" ht="13.5" thickBot="1">
      <c r="A276" s="294" t="str">
        <f>+'YE Projections'!$F$3</f>
        <v>6/30/2024 Projection</v>
      </c>
      <c r="B276" s="101">
        <f>+B273+B275</f>
        <v>4025</v>
      </c>
      <c r="C276" s="24"/>
      <c r="D276" s="93"/>
      <c r="E276" s="424"/>
      <c r="F276" s="568"/>
      <c r="G276" s="42"/>
      <c r="H276" s="50"/>
      <c r="I276" s="50"/>
      <c r="L276" s="5"/>
      <c r="M276" s="42"/>
    </row>
    <row r="277" spans="1:13" ht="14.25" thickTop="1" thickBot="1">
      <c r="A277" s="449"/>
      <c r="B277" s="301"/>
      <c r="C277" s="301"/>
      <c r="D277" s="426"/>
      <c r="E277" s="427"/>
      <c r="I277" s="17"/>
      <c r="J277" s="17"/>
    </row>
    <row r="278" spans="1:13" ht="13.5" thickBot="1">
      <c r="A278" s="28"/>
      <c r="B278" s="24"/>
      <c r="C278" s="24"/>
      <c r="D278" s="93"/>
      <c r="E278" s="428"/>
      <c r="I278" s="17"/>
      <c r="J278" s="17"/>
    </row>
    <row r="279" spans="1:13" ht="15">
      <c r="A279" s="1080" t="s">
        <v>42</v>
      </c>
      <c r="B279" s="1085"/>
      <c r="C279" s="1085"/>
      <c r="D279" s="1085"/>
      <c r="E279" s="1086"/>
      <c r="G279" s="45" t="s">
        <v>501</v>
      </c>
      <c r="H279" s="50" t="s">
        <v>42</v>
      </c>
      <c r="I279" s="17"/>
      <c r="J279" s="17"/>
    </row>
    <row r="280" spans="1:13" ht="15">
      <c r="A280" s="312"/>
      <c r="B280" s="601"/>
      <c r="C280" s="601"/>
      <c r="D280" s="420"/>
      <c r="E280" s="421"/>
      <c r="G280" s="570" t="s">
        <v>505</v>
      </c>
      <c r="H280" s="50">
        <v>742.48</v>
      </c>
      <c r="I280" s="17" t="s">
        <v>671</v>
      </c>
      <c r="J280" s="17"/>
    </row>
    <row r="281" spans="1:13" ht="13.5" thickBot="1">
      <c r="A281" s="293" t="str">
        <f>+'YE Projections'!$G$3</f>
        <v>FY 23-24 Budget</v>
      </c>
      <c r="B281" s="111">
        <f>+'YE Projections'!G53</f>
        <v>600</v>
      </c>
      <c r="C281" s="44" t="str">
        <f>+C208</f>
        <v>FY 24-25 Proposed</v>
      </c>
      <c r="D281" s="422">
        <f>SUM(D283:D288)</f>
        <v>825</v>
      </c>
      <c r="E281" s="977">
        <f>SUM(D281-B281)/B281</f>
        <v>0.375</v>
      </c>
      <c r="G281" s="570" t="s">
        <v>506</v>
      </c>
      <c r="H281" s="50">
        <v>456.16</v>
      </c>
      <c r="I281" s="652">
        <f>SUM(H281-H280)/H281</f>
        <v>-0.62767450017537696</v>
      </c>
      <c r="J281" s="17" t="s">
        <v>504</v>
      </c>
    </row>
    <row r="282" spans="1:13" ht="13.5" thickTop="1">
      <c r="A282" s="414"/>
      <c r="B282" s="24"/>
      <c r="C282" s="24"/>
      <c r="D282" s="93"/>
      <c r="E282" s="424"/>
      <c r="G282" s="570" t="s">
        <v>507</v>
      </c>
      <c r="H282" s="50">
        <v>676.2</v>
      </c>
      <c r="I282" s="652">
        <f t="shared" ref="I282:I284" si="16">SUM(H282-H281)/H282</f>
        <v>0.32540668441289561</v>
      </c>
      <c r="J282" s="17"/>
    </row>
    <row r="283" spans="1:13">
      <c r="A283" s="313" t="s">
        <v>756</v>
      </c>
      <c r="B283" s="43">
        <v>49.09</v>
      </c>
      <c r="C283" s="619"/>
      <c r="D283" s="415">
        <f>12*66</f>
        <v>792</v>
      </c>
      <c r="E283" s="92" t="s">
        <v>757</v>
      </c>
      <c r="G283" s="570" t="s">
        <v>508</v>
      </c>
      <c r="H283" s="50">
        <v>595.5</v>
      </c>
      <c r="I283" s="652">
        <f t="shared" si="16"/>
        <v>-0.13551637279596984</v>
      </c>
      <c r="J283" s="17"/>
    </row>
    <row r="284" spans="1:13">
      <c r="A284" s="443" t="s">
        <v>567</v>
      </c>
      <c r="B284" s="43">
        <v>660</v>
      </c>
      <c r="C284" s="67"/>
      <c r="D284" s="430">
        <v>33</v>
      </c>
      <c r="E284" s="92" t="s">
        <v>381</v>
      </c>
      <c r="G284" s="45" t="s">
        <v>509</v>
      </c>
      <c r="H284" s="22">
        <v>447.35</v>
      </c>
      <c r="I284" s="652">
        <f t="shared" si="16"/>
        <v>-0.33117246004247225</v>
      </c>
      <c r="J284" s="17"/>
    </row>
    <row r="285" spans="1:13" ht="13.5" thickBot="1">
      <c r="A285" s="443" t="s">
        <v>218</v>
      </c>
      <c r="B285" s="101">
        <f>SUM(B283:B284)</f>
        <v>709.09</v>
      </c>
      <c r="C285" s="24"/>
      <c r="D285" s="93"/>
      <c r="E285" s="424"/>
      <c r="G285" s="45" t="s">
        <v>587</v>
      </c>
      <c r="H285" s="22">
        <f>AVERAGE(H280:H284)</f>
        <v>583.53800000000001</v>
      </c>
      <c r="I285" s="17"/>
      <c r="J285" s="17"/>
    </row>
    <row r="286" spans="1:13" ht="13.5" thickTop="1">
      <c r="A286" s="443"/>
      <c r="B286" s="43"/>
      <c r="C286" s="24"/>
      <c r="D286" s="93"/>
      <c r="E286" s="424"/>
      <c r="G286" s="24"/>
      <c r="H286" s="22"/>
      <c r="I286" s="17"/>
      <c r="J286" s="17"/>
    </row>
    <row r="287" spans="1:13">
      <c r="A287" s="313" t="s">
        <v>407</v>
      </c>
      <c r="B287" s="43">
        <v>0</v>
      </c>
      <c r="C287" s="24"/>
      <c r="D287" s="93"/>
      <c r="E287" s="424"/>
      <c r="G287" s="570" t="s">
        <v>599</v>
      </c>
      <c r="H287" s="50">
        <f>+B285</f>
        <v>709.09</v>
      </c>
      <c r="I287" s="655">
        <f>SUM(H287-H284)/H287</f>
        <v>0.36912098605254623</v>
      </c>
      <c r="J287" s="17"/>
    </row>
    <row r="288" spans="1:13" ht="13.5" thickBot="1">
      <c r="A288" s="294" t="str">
        <f>+'YE Projections'!$F$3</f>
        <v>6/30/2024 Projection</v>
      </c>
      <c r="B288" s="111">
        <f>+B287+B285</f>
        <v>709.09</v>
      </c>
      <c r="C288" s="442"/>
      <c r="D288" s="93"/>
      <c r="E288" s="424"/>
      <c r="I288" s="17"/>
      <c r="J288" s="17"/>
    </row>
    <row r="289" spans="1:12" ht="14.25" thickTop="1" thickBot="1">
      <c r="A289" s="449"/>
      <c r="B289" s="301"/>
      <c r="C289" s="301"/>
      <c r="D289" s="426"/>
      <c r="E289" s="427"/>
      <c r="I289" s="17"/>
      <c r="J289" s="17"/>
    </row>
    <row r="290" spans="1:12" ht="13.5" thickBot="1">
      <c r="A290" s="28"/>
      <c r="B290" s="24"/>
      <c r="C290" s="24"/>
      <c r="D290" s="93"/>
      <c r="E290" s="433"/>
      <c r="I290" s="17"/>
      <c r="J290" s="17"/>
    </row>
    <row r="291" spans="1:12" ht="15">
      <c r="A291" s="1080" t="s">
        <v>43</v>
      </c>
      <c r="B291" s="1085"/>
      <c r="C291" s="1085"/>
      <c r="D291" s="1085"/>
      <c r="E291" s="1086"/>
      <c r="G291" s="45" t="s">
        <v>501</v>
      </c>
      <c r="H291" s="50" t="s">
        <v>43</v>
      </c>
      <c r="I291" s="17"/>
      <c r="J291" s="17"/>
      <c r="K291" s="24"/>
      <c r="L291" s="24"/>
    </row>
    <row r="292" spans="1:12" ht="15">
      <c r="A292" s="312"/>
      <c r="B292" s="601"/>
      <c r="C292" s="601"/>
      <c r="D292" s="420"/>
      <c r="E292" s="421"/>
      <c r="G292" s="570" t="s">
        <v>505</v>
      </c>
      <c r="H292" s="50">
        <v>220</v>
      </c>
      <c r="I292" s="17" t="s">
        <v>671</v>
      </c>
      <c r="J292" s="17"/>
      <c r="K292" s="417"/>
      <c r="L292" s="24"/>
    </row>
    <row r="293" spans="1:12" ht="13.5" thickBot="1">
      <c r="A293" s="293" t="str">
        <f>+'YE Projections'!$G$3</f>
        <v>FY 23-24 Budget</v>
      </c>
      <c r="B293" s="111">
        <f>+'YE Projections'!G54</f>
        <v>950</v>
      </c>
      <c r="C293" s="44" t="str">
        <f>+$C$3</f>
        <v>FY 24-25 Proposed</v>
      </c>
      <c r="D293" s="422">
        <f>SUM(D295:D299)</f>
        <v>950</v>
      </c>
      <c r="E293" s="977">
        <f>SUM(D293-B293)/B293</f>
        <v>0</v>
      </c>
      <c r="G293" s="570" t="s">
        <v>506</v>
      </c>
      <c r="H293" s="50">
        <v>208</v>
      </c>
      <c r="I293" s="652">
        <f>SUM(H293-H292)/H293</f>
        <v>-5.7692307692307696E-2</v>
      </c>
      <c r="J293" s="17"/>
      <c r="K293" s="417"/>
      <c r="L293" s="24"/>
    </row>
    <row r="294" spans="1:12" ht="13.5" thickTop="1">
      <c r="A294" s="414"/>
      <c r="B294" s="24"/>
      <c r="C294" s="24"/>
      <c r="D294" s="93"/>
      <c r="E294" s="424"/>
      <c r="G294" s="570" t="s">
        <v>507</v>
      </c>
      <c r="H294" s="50">
        <v>72</v>
      </c>
      <c r="I294" s="652">
        <f t="shared" ref="I294:I296" si="17">SUM(H294-H293)/H294</f>
        <v>-1.8888888888888888</v>
      </c>
      <c r="J294" s="17" t="s">
        <v>504</v>
      </c>
      <c r="K294" s="417"/>
      <c r="L294" s="24"/>
    </row>
    <row r="295" spans="1:12" ht="13.5" thickBot="1">
      <c r="A295" s="443" t="s">
        <v>218</v>
      </c>
      <c r="B295" s="101">
        <f>+'YE Projections'!C54</f>
        <v>0</v>
      </c>
      <c r="C295" s="109" t="s">
        <v>426</v>
      </c>
      <c r="D295" s="415">
        <v>150</v>
      </c>
      <c r="E295" s="320" t="s">
        <v>516</v>
      </c>
      <c r="G295" s="570" t="s">
        <v>508</v>
      </c>
      <c r="H295" s="50">
        <v>162</v>
      </c>
      <c r="I295" s="652">
        <f t="shared" si="17"/>
        <v>0.55555555555555558</v>
      </c>
      <c r="J295" s="17"/>
      <c r="K295" s="417"/>
      <c r="L295" s="24"/>
    </row>
    <row r="296" spans="1:12" ht="13.5" thickTop="1">
      <c r="A296" s="414"/>
      <c r="B296" s="24"/>
      <c r="C296" s="109" t="s">
        <v>426</v>
      </c>
      <c r="D296" s="415">
        <v>150</v>
      </c>
      <c r="E296" s="320" t="s">
        <v>338</v>
      </c>
      <c r="G296" s="45" t="s">
        <v>509</v>
      </c>
      <c r="H296" s="22">
        <v>561.19000000000005</v>
      </c>
      <c r="I296" s="652">
        <f t="shared" si="17"/>
        <v>0.71132771432135289</v>
      </c>
      <c r="J296" s="17"/>
      <c r="K296" s="24"/>
      <c r="L296" s="24"/>
    </row>
    <row r="297" spans="1:12">
      <c r="A297" s="313" t="s">
        <v>338</v>
      </c>
      <c r="B297" s="43"/>
      <c r="C297" s="109" t="s">
        <v>426</v>
      </c>
      <c r="D297" s="415">
        <v>150</v>
      </c>
      <c r="E297" s="320" t="s">
        <v>337</v>
      </c>
      <c r="G297" s="45" t="s">
        <v>587</v>
      </c>
      <c r="H297" s="22">
        <f>AVERAGE(H292:H296)</f>
        <v>244.63800000000001</v>
      </c>
      <c r="I297" s="17"/>
      <c r="J297" s="17"/>
      <c r="K297" s="24"/>
      <c r="L297" s="24"/>
    </row>
    <row r="298" spans="1:12">
      <c r="A298" s="313" t="s">
        <v>337</v>
      </c>
      <c r="B298" s="43"/>
      <c r="C298" s="109" t="s">
        <v>426</v>
      </c>
      <c r="D298" s="415">
        <v>500</v>
      </c>
      <c r="E298" s="320" t="s">
        <v>420</v>
      </c>
      <c r="G298" s="24"/>
      <c r="H298" s="22"/>
      <c r="I298" s="17"/>
      <c r="J298" s="17"/>
    </row>
    <row r="299" spans="1:12" ht="13.5" thickBot="1">
      <c r="A299" s="294" t="str">
        <f>+'YE Projections'!$F$3</f>
        <v>6/30/2024 Projection</v>
      </c>
      <c r="B299" s="111">
        <f>+B297+B298+B295</f>
        <v>0</v>
      </c>
      <c r="C299" s="442"/>
      <c r="D299" s="93"/>
      <c r="E299" s="424"/>
      <c r="G299" s="570" t="s">
        <v>599</v>
      </c>
      <c r="H299" s="50">
        <f>+B299</f>
        <v>0</v>
      </c>
      <c r="I299" s="655" t="e">
        <f>SUM(H299-H296)/H299</f>
        <v>#DIV/0!</v>
      </c>
      <c r="J299" s="17"/>
    </row>
    <row r="300" spans="1:12" ht="14.25" thickTop="1" thickBot="1">
      <c r="A300" s="467"/>
      <c r="B300" s="307"/>
      <c r="C300" s="301"/>
      <c r="D300" s="426"/>
      <c r="E300" s="427"/>
      <c r="I300" s="17"/>
      <c r="J300" s="17"/>
    </row>
    <row r="301" spans="1:12" ht="13.5" thickBot="1">
      <c r="A301" s="28"/>
      <c r="B301" s="24"/>
      <c r="C301" s="24"/>
      <c r="D301" s="93"/>
      <c r="E301" s="428"/>
      <c r="I301" s="17"/>
      <c r="J301" s="17"/>
    </row>
    <row r="302" spans="1:12" ht="15">
      <c r="A302" s="1080" t="s">
        <v>44</v>
      </c>
      <c r="B302" s="1085"/>
      <c r="C302" s="1085"/>
      <c r="D302" s="1085"/>
      <c r="E302" s="1086"/>
      <c r="G302" s="45" t="s">
        <v>501</v>
      </c>
      <c r="H302" s="50" t="s">
        <v>500</v>
      </c>
      <c r="I302" s="17"/>
      <c r="J302" s="17"/>
    </row>
    <row r="303" spans="1:12" ht="15">
      <c r="A303" s="312"/>
      <c r="B303" s="601"/>
      <c r="C303" s="601"/>
      <c r="D303" s="420"/>
      <c r="E303" s="421"/>
      <c r="G303" s="570" t="s">
        <v>505</v>
      </c>
      <c r="H303" s="50">
        <v>116</v>
      </c>
      <c r="I303" s="17" t="s">
        <v>671</v>
      </c>
      <c r="J303" s="17"/>
    </row>
    <row r="304" spans="1:12" ht="13.5" thickBot="1">
      <c r="A304" s="293" t="str">
        <f>+'YE Projections'!$G$3</f>
        <v>FY 23-24 Budget</v>
      </c>
      <c r="B304" s="111">
        <f>+'YE Projections'!G55</f>
        <v>150</v>
      </c>
      <c r="C304" s="44" t="str">
        <f>+C293</f>
        <v>FY 24-25 Proposed</v>
      </c>
      <c r="D304" s="422">
        <f>SUM(D306:D307)</f>
        <v>160</v>
      </c>
      <c r="E304" s="977">
        <f>SUM(D304-B304)/B304</f>
        <v>6.6666666666666666E-2</v>
      </c>
      <c r="G304" s="570" t="s">
        <v>506</v>
      </c>
      <c r="H304" s="50">
        <v>120</v>
      </c>
      <c r="I304" s="652">
        <f>SUM(H304-H303)/H304</f>
        <v>3.3333333333333333E-2</v>
      </c>
      <c r="J304" s="17"/>
    </row>
    <row r="305" spans="1:10" ht="13.5" thickTop="1">
      <c r="A305" s="414"/>
      <c r="B305" s="24"/>
      <c r="C305" s="24"/>
      <c r="D305" s="93"/>
      <c r="E305" s="424"/>
      <c r="G305" s="570" t="s">
        <v>507</v>
      </c>
      <c r="H305" s="50">
        <v>120</v>
      </c>
      <c r="I305" s="652">
        <f t="shared" ref="I305:I307" si="18">SUM(H305-H304)/H305</f>
        <v>0</v>
      </c>
      <c r="J305" s="17"/>
    </row>
    <row r="306" spans="1:10">
      <c r="A306" s="313" t="s">
        <v>408</v>
      </c>
      <c r="B306" s="43">
        <f>+'YE Projections'!C55</f>
        <v>152</v>
      </c>
      <c r="C306" s="44" t="s">
        <v>169</v>
      </c>
      <c r="D306" s="415">
        <v>160</v>
      </c>
      <c r="E306" s="424" t="s">
        <v>175</v>
      </c>
      <c r="G306" s="570" t="s">
        <v>508</v>
      </c>
      <c r="H306" s="50">
        <v>130</v>
      </c>
      <c r="I306" s="652">
        <f t="shared" si="18"/>
        <v>7.6923076923076927E-2</v>
      </c>
      <c r="J306" s="17"/>
    </row>
    <row r="307" spans="1:10" ht="13.5" thickBot="1">
      <c r="A307" s="443" t="s">
        <v>218</v>
      </c>
      <c r="B307" s="101">
        <f>+B306</f>
        <v>152</v>
      </c>
      <c r="C307" s="44"/>
      <c r="D307" s="415"/>
      <c r="E307" s="424"/>
      <c r="G307" s="45" t="s">
        <v>509</v>
      </c>
      <c r="H307" s="22">
        <v>140</v>
      </c>
      <c r="I307" s="652">
        <f t="shared" si="18"/>
        <v>7.1428571428571425E-2</v>
      </c>
      <c r="J307" s="17"/>
    </row>
    <row r="308" spans="1:10" ht="13.5" thickTop="1">
      <c r="A308" s="414"/>
      <c r="B308" s="24"/>
      <c r="C308" s="24"/>
      <c r="D308" s="93"/>
      <c r="E308" s="424"/>
      <c r="G308" s="570" t="s">
        <v>599</v>
      </c>
      <c r="H308" s="50">
        <f>+B307</f>
        <v>152</v>
      </c>
      <c r="I308" s="2" t="s">
        <v>668</v>
      </c>
      <c r="J308" s="17"/>
    </row>
    <row r="309" spans="1:10" ht="13.5" thickBot="1">
      <c r="A309" s="294" t="str">
        <f>+'YE Projections'!$F$3</f>
        <v>6/30/2024 Projection</v>
      </c>
      <c r="B309" s="111">
        <f>+B307</f>
        <v>152</v>
      </c>
      <c r="C309" s="442"/>
      <c r="D309" s="93"/>
      <c r="E309" s="424"/>
      <c r="G309" s="24"/>
      <c r="H309" s="22"/>
      <c r="I309" s="17"/>
      <c r="J309" s="17"/>
    </row>
    <row r="310" spans="1:10" ht="14.25" thickTop="1" thickBot="1">
      <c r="A310" s="449"/>
      <c r="B310" s="301"/>
      <c r="C310" s="301"/>
      <c r="D310" s="426"/>
      <c r="E310" s="427"/>
      <c r="I310" s="17"/>
      <c r="J310" s="17"/>
    </row>
    <row r="311" spans="1:10" ht="13.5" thickBot="1">
      <c r="A311" s="28"/>
      <c r="B311" s="24"/>
      <c r="C311" s="24"/>
      <c r="D311" s="93"/>
      <c r="E311" s="428"/>
      <c r="I311" s="17"/>
      <c r="J311" s="17"/>
    </row>
    <row r="312" spans="1:10" ht="15">
      <c r="A312" s="1080" t="s">
        <v>45</v>
      </c>
      <c r="B312" s="1085"/>
      <c r="C312" s="1085"/>
      <c r="D312" s="1085"/>
      <c r="E312" s="1086"/>
      <c r="G312" s="45" t="s">
        <v>501</v>
      </c>
      <c r="H312" s="50" t="s">
        <v>45</v>
      </c>
      <c r="I312" s="17"/>
      <c r="J312" s="17"/>
    </row>
    <row r="313" spans="1:10" ht="15">
      <c r="A313" s="312"/>
      <c r="B313" s="601"/>
      <c r="C313" s="601"/>
      <c r="D313" s="420"/>
      <c r="E313" s="421"/>
      <c r="G313" s="570" t="s">
        <v>505</v>
      </c>
      <c r="H313" s="50">
        <v>2826.23</v>
      </c>
      <c r="I313" s="17" t="s">
        <v>671</v>
      </c>
      <c r="J313" s="17"/>
    </row>
    <row r="314" spans="1:10" ht="13.5" thickBot="1">
      <c r="A314" s="293" t="str">
        <f>+'YE Projections'!$G$3</f>
        <v>FY 23-24 Budget</v>
      </c>
      <c r="B314" s="111">
        <f>+'YE Projections'!G56</f>
        <v>5000</v>
      </c>
      <c r="C314" s="44" t="str">
        <f>+$C$3</f>
        <v>FY 24-25 Proposed</v>
      </c>
      <c r="D314" s="422">
        <f>SUM(D316:D327)</f>
        <v>9500</v>
      </c>
      <c r="E314" s="977">
        <f>SUM(D314-B314)/B314</f>
        <v>0.9</v>
      </c>
      <c r="G314" s="570" t="s">
        <v>506</v>
      </c>
      <c r="H314" s="50">
        <v>2099.5100000000002</v>
      </c>
      <c r="I314" s="652">
        <f>SUM(H314-H313)/H314</f>
        <v>-0.34613790836909553</v>
      </c>
      <c r="J314" s="17" t="s">
        <v>504</v>
      </c>
    </row>
    <row r="315" spans="1:10" ht="13.5" thickTop="1">
      <c r="A315" s="414"/>
      <c r="B315" s="24"/>
      <c r="C315" s="24"/>
      <c r="D315" s="93"/>
      <c r="E315" s="424"/>
      <c r="G315" s="570" t="s">
        <v>507</v>
      </c>
      <c r="H315" s="50">
        <v>1434.37</v>
      </c>
      <c r="I315" s="652">
        <f t="shared" ref="I315:I317" si="19">SUM(H315-H314)/H315</f>
        <v>-0.46371577765848448</v>
      </c>
      <c r="J315" s="17" t="s">
        <v>504</v>
      </c>
    </row>
    <row r="316" spans="1:10">
      <c r="A316" s="313" t="s">
        <v>421</v>
      </c>
      <c r="B316" s="43">
        <v>1840.98</v>
      </c>
      <c r="C316" s="67"/>
      <c r="D316" s="430">
        <v>3000</v>
      </c>
      <c r="E316" s="424" t="s">
        <v>997</v>
      </c>
      <c r="G316" s="570" t="s">
        <v>508</v>
      </c>
      <c r="H316" s="50">
        <v>1582.85</v>
      </c>
      <c r="I316" s="652">
        <f t="shared" si="19"/>
        <v>9.3805477461540915E-2</v>
      </c>
      <c r="J316" s="17"/>
    </row>
    <row r="317" spans="1:10">
      <c r="A317" s="313" t="s">
        <v>462</v>
      </c>
      <c r="B317" s="43">
        <v>364.8</v>
      </c>
      <c r="C317" s="44"/>
      <c r="D317" s="415">
        <v>300</v>
      </c>
      <c r="E317" s="320" t="s">
        <v>177</v>
      </c>
      <c r="G317" s="45" t="s">
        <v>509</v>
      </c>
      <c r="H317" s="22">
        <v>3810.14</v>
      </c>
      <c r="I317" s="652">
        <f t="shared" si="19"/>
        <v>0.58456907095277344</v>
      </c>
      <c r="J317" s="17"/>
    </row>
    <row r="318" spans="1:10">
      <c r="A318" s="313" t="s">
        <v>939</v>
      </c>
      <c r="B318" s="43">
        <f>11.99+18.99</f>
        <v>30.979999999999997</v>
      </c>
      <c r="C318" s="44"/>
      <c r="D318" s="415">
        <v>200</v>
      </c>
      <c r="E318" s="320" t="s">
        <v>178</v>
      </c>
      <c r="G318" s="45" t="s">
        <v>587</v>
      </c>
      <c r="H318" s="22">
        <f>AVERAGE(H313:H317)</f>
        <v>2350.62</v>
      </c>
      <c r="I318" s="17"/>
      <c r="J318" s="17"/>
    </row>
    <row r="319" spans="1:10">
      <c r="A319" s="313" t="s">
        <v>933</v>
      </c>
      <c r="B319" s="43">
        <v>4606</v>
      </c>
      <c r="C319" s="44"/>
      <c r="D319" s="43">
        <v>1000</v>
      </c>
      <c r="E319" s="320" t="s">
        <v>934</v>
      </c>
      <c r="G319" s="24"/>
      <c r="H319" s="22"/>
      <c r="I319" s="17"/>
      <c r="J319" s="17"/>
    </row>
    <row r="320" spans="1:10">
      <c r="A320" s="313" t="s">
        <v>940</v>
      </c>
      <c r="B320" s="43">
        <f>1720+1720</f>
        <v>3440</v>
      </c>
      <c r="C320" s="44"/>
      <c r="D320" s="415">
        <v>5000</v>
      </c>
      <c r="E320" s="320" t="s">
        <v>935</v>
      </c>
      <c r="G320" s="570" t="s">
        <v>599</v>
      </c>
      <c r="H320" s="50">
        <f>+B322</f>
        <v>12032.76</v>
      </c>
      <c r="I320" s="655">
        <f>SUM(H320-H317)/H320</f>
        <v>0.68335278024326929</v>
      </c>
      <c r="J320" s="17"/>
    </row>
    <row r="321" spans="1:10">
      <c r="A321" s="313" t="s">
        <v>977</v>
      </c>
      <c r="B321" s="43">
        <v>1750</v>
      </c>
      <c r="C321" s="44"/>
      <c r="D321" s="415"/>
      <c r="E321" s="424"/>
      <c r="G321" s="570"/>
      <c r="H321" s="50"/>
      <c r="I321" s="655"/>
      <c r="J321" s="17"/>
    </row>
    <row r="322" spans="1:10" ht="13.5" thickBot="1">
      <c r="A322" s="443" t="s">
        <v>218</v>
      </c>
      <c r="B322" s="101">
        <f>SUM(B316:B321)</f>
        <v>12032.76</v>
      </c>
      <c r="C322" s="43"/>
      <c r="D322" s="415"/>
      <c r="E322" s="424"/>
      <c r="I322" s="17"/>
      <c r="J322" s="17"/>
    </row>
    <row r="323" spans="1:10" ht="13.5" thickTop="1">
      <c r="A323" s="313"/>
      <c r="B323" s="24"/>
      <c r="C323" s="44"/>
      <c r="D323" s="415"/>
      <c r="E323" s="424"/>
      <c r="I323" s="17"/>
      <c r="J323" s="17"/>
    </row>
    <row r="324" spans="1:10">
      <c r="A324" s="313" t="s">
        <v>407</v>
      </c>
      <c r="B324" s="43"/>
      <c r="C324" s="471"/>
      <c r="D324" s="415"/>
      <c r="E324" s="424"/>
      <c r="I324" s="17"/>
      <c r="J324" s="17"/>
    </row>
    <row r="325" spans="1:10" ht="13.5" thickBot="1">
      <c r="A325" s="294" t="str">
        <f>+'YE Projections'!$F$3</f>
        <v>6/30/2024 Projection</v>
      </c>
      <c r="B325" s="111">
        <f>+B322+B324</f>
        <v>12032.76</v>
      </c>
      <c r="C325" s="527"/>
      <c r="D325" s="415"/>
      <c r="E325" s="424"/>
      <c r="I325" s="17"/>
      <c r="J325" s="17"/>
    </row>
    <row r="326" spans="1:10" ht="14.25" thickTop="1" thickBot="1">
      <c r="A326" s="449"/>
      <c r="B326" s="301"/>
      <c r="C326" s="298"/>
      <c r="D326" s="437"/>
      <c r="E326" s="427"/>
      <c r="I326" s="17"/>
      <c r="J326" s="17"/>
    </row>
    <row r="327" spans="1:10" ht="13.5" thickBot="1">
      <c r="A327" s="17"/>
      <c r="C327" s="44"/>
      <c r="D327" s="415"/>
      <c r="E327" s="428"/>
      <c r="I327" s="17"/>
      <c r="J327" s="17"/>
    </row>
    <row r="328" spans="1:10" ht="15">
      <c r="A328" s="1080" t="s">
        <v>236</v>
      </c>
      <c r="B328" s="1085"/>
      <c r="C328" s="1085"/>
      <c r="D328" s="1085"/>
      <c r="E328" s="1086"/>
      <c r="G328" s="45" t="s">
        <v>501</v>
      </c>
      <c r="H328" s="653" t="str">
        <f>+A328</f>
        <v>6215 · Fire Suppression</v>
      </c>
      <c r="I328" s="17"/>
      <c r="J328" s="17"/>
    </row>
    <row r="329" spans="1:10" ht="15">
      <c r="A329" s="312"/>
      <c r="B329" s="601"/>
      <c r="C329" s="601"/>
      <c r="D329" s="420"/>
      <c r="E329" s="421"/>
      <c r="G329" s="570" t="s">
        <v>505</v>
      </c>
      <c r="H329" s="50">
        <v>455.45</v>
      </c>
      <c r="I329" s="17" t="s">
        <v>671</v>
      </c>
      <c r="J329" s="17"/>
    </row>
    <row r="330" spans="1:10" ht="13.5" thickBot="1">
      <c r="A330" s="293" t="str">
        <f>+'YE Projections'!$G$3</f>
        <v>FY 23-24 Budget</v>
      </c>
      <c r="B330" s="111">
        <f>+'YE Projections'!G57</f>
        <v>2500</v>
      </c>
      <c r="C330" s="44" t="str">
        <f>+$C$3</f>
        <v>FY 24-25 Proposed</v>
      </c>
      <c r="D330" s="422">
        <f>SUM(D332:D338)</f>
        <v>2500</v>
      </c>
      <c r="E330" s="977">
        <f>SUM(D330-B330)/B330</f>
        <v>0</v>
      </c>
      <c r="G330" s="570" t="s">
        <v>506</v>
      </c>
      <c r="H330" s="50">
        <v>125.25</v>
      </c>
      <c r="I330" s="652">
        <f>SUM(H330-H329)/H330</f>
        <v>-2.6363273453093812</v>
      </c>
      <c r="J330" s="17" t="s">
        <v>504</v>
      </c>
    </row>
    <row r="331" spans="1:10" ht="13.5" thickTop="1">
      <c r="A331" s="414"/>
      <c r="B331" s="24"/>
      <c r="C331" s="24"/>
      <c r="D331" s="93"/>
      <c r="E331" s="424"/>
      <c r="G331" s="570" t="s">
        <v>507</v>
      </c>
      <c r="H331" s="50">
        <v>938.75</v>
      </c>
      <c r="I331" s="652">
        <f t="shared" ref="I331:I333" si="20">SUM(H331-H330)/H331</f>
        <v>0.86657789613848202</v>
      </c>
      <c r="J331" s="17"/>
    </row>
    <row r="332" spans="1:10">
      <c r="A332" s="313" t="s">
        <v>339</v>
      </c>
      <c r="B332" s="43"/>
      <c r="C332" s="115" t="s">
        <v>115</v>
      </c>
      <c r="D332" s="29">
        <v>650</v>
      </c>
      <c r="E332" s="383" t="s">
        <v>176</v>
      </c>
      <c r="G332" s="570" t="s">
        <v>508</v>
      </c>
      <c r="H332" s="50">
        <v>603.85</v>
      </c>
      <c r="I332" s="652">
        <f t="shared" si="20"/>
        <v>-0.55460793243355133</v>
      </c>
      <c r="J332" s="17"/>
    </row>
    <row r="333" spans="1:10">
      <c r="A333" s="313" t="s">
        <v>340</v>
      </c>
      <c r="B333" s="43">
        <v>192.75</v>
      </c>
      <c r="C333" s="115" t="s">
        <v>115</v>
      </c>
      <c r="D333" s="29">
        <v>350</v>
      </c>
      <c r="E333" s="383" t="s">
        <v>237</v>
      </c>
      <c r="G333" s="45" t="s">
        <v>509</v>
      </c>
      <c r="H333" s="22">
        <v>1513.5</v>
      </c>
      <c r="I333" s="652">
        <f t="shared" si="20"/>
        <v>0.60102411628675256</v>
      </c>
      <c r="J333" s="17"/>
    </row>
    <row r="334" spans="1:10" ht="13.5" thickBot="1">
      <c r="A334" s="443" t="s">
        <v>218</v>
      </c>
      <c r="B334" s="101">
        <f>SUM(B332:B333)</f>
        <v>192.75</v>
      </c>
      <c r="C334" s="115" t="s">
        <v>115</v>
      </c>
      <c r="D334" s="415">
        <v>1500</v>
      </c>
      <c r="E334" s="320" t="s">
        <v>339</v>
      </c>
      <c r="G334" s="45" t="s">
        <v>587</v>
      </c>
      <c r="H334" s="22">
        <f>AVERAGE(H329:H333)</f>
        <v>727.36</v>
      </c>
      <c r="I334" s="17"/>
      <c r="J334" s="17"/>
    </row>
    <row r="335" spans="1:10" ht="13.5" thickTop="1">
      <c r="A335" s="414"/>
      <c r="B335" s="24"/>
      <c r="C335" s="43"/>
      <c r="D335" s="93"/>
      <c r="E335" s="92"/>
      <c r="G335" s="24"/>
      <c r="H335" s="22"/>
      <c r="I335" s="17"/>
      <c r="J335" s="17"/>
    </row>
    <row r="336" spans="1:10">
      <c r="A336" s="313" t="s">
        <v>407</v>
      </c>
      <c r="B336" s="43">
        <f>+B334+1500</f>
        <v>1692.75</v>
      </c>
      <c r="C336" s="24"/>
      <c r="D336" s="415"/>
      <c r="E336" s="424"/>
      <c r="G336" s="570" t="s">
        <v>599</v>
      </c>
      <c r="H336" s="50">
        <f>+B334</f>
        <v>192.75</v>
      </c>
      <c r="I336" s="655">
        <f>SUM(H336-H333)/H336</f>
        <v>-6.8521400778210113</v>
      </c>
      <c r="J336" s="17"/>
    </row>
    <row r="337" spans="1:10" ht="13.5" thickBot="1">
      <c r="A337" s="294" t="str">
        <f>+'YE Projections'!$F$3</f>
        <v>6/30/2024 Projection</v>
      </c>
      <c r="B337" s="111">
        <f>+B334+B336</f>
        <v>1885.5</v>
      </c>
      <c r="C337" s="442"/>
      <c r="D337" s="415"/>
      <c r="E337" s="424"/>
      <c r="I337" s="17"/>
      <c r="J337" s="17"/>
    </row>
    <row r="338" spans="1:10" ht="14.25" thickTop="1" thickBot="1">
      <c r="A338" s="449"/>
      <c r="B338" s="301"/>
      <c r="C338" s="301"/>
      <c r="D338" s="437"/>
      <c r="E338" s="427"/>
      <c r="I338" s="17"/>
      <c r="J338" s="17"/>
    </row>
    <row r="339" spans="1:10" ht="13.5" thickBot="1">
      <c r="A339" s="28"/>
      <c r="B339" s="24"/>
      <c r="C339" s="24"/>
      <c r="D339" s="415"/>
      <c r="E339" s="428"/>
      <c r="I339" s="17"/>
      <c r="J339" s="17"/>
    </row>
    <row r="340" spans="1:10" ht="15">
      <c r="A340" s="1080" t="s">
        <v>46</v>
      </c>
      <c r="B340" s="1085"/>
      <c r="C340" s="1085"/>
      <c r="D340" s="1085"/>
      <c r="E340" s="1086"/>
      <c r="G340" s="45" t="s">
        <v>501</v>
      </c>
      <c r="H340" s="50" t="s">
        <v>46</v>
      </c>
      <c r="I340" s="17"/>
      <c r="J340" s="17"/>
    </row>
    <row r="341" spans="1:10" ht="15">
      <c r="A341" s="312"/>
      <c r="B341" s="601"/>
      <c r="C341" s="601"/>
      <c r="D341" s="420"/>
      <c r="E341" s="423"/>
      <c r="G341" s="570" t="s">
        <v>505</v>
      </c>
      <c r="H341" s="50">
        <v>1210.5899999999999</v>
      </c>
      <c r="I341" s="17" t="s">
        <v>671</v>
      </c>
      <c r="J341" s="17"/>
    </row>
    <row r="342" spans="1:10" ht="13.5" thickBot="1">
      <c r="A342" s="293" t="str">
        <f>+'YE Projections'!$G$3</f>
        <v>FY 23-24 Budget</v>
      </c>
      <c r="B342" s="111">
        <f>+'YE Projections'!G58</f>
        <v>4200</v>
      </c>
      <c r="C342" s="44" t="str">
        <f>+$C$3</f>
        <v>FY 24-25 Proposed</v>
      </c>
      <c r="D342" s="422">
        <f>SUM(D344:D349)</f>
        <v>4200</v>
      </c>
      <c r="E342" s="977">
        <f>SUM(D342-B342)/B342</f>
        <v>0</v>
      </c>
      <c r="G342" s="570" t="s">
        <v>506</v>
      </c>
      <c r="H342" s="50">
        <v>2381.7199999999998</v>
      </c>
      <c r="I342" s="652">
        <f>SUM(H342-H341)/H342</f>
        <v>0.49171607073879381</v>
      </c>
      <c r="J342" s="17"/>
    </row>
    <row r="343" spans="1:10" ht="13.5" thickTop="1">
      <c r="A343" s="414"/>
      <c r="B343" s="24"/>
      <c r="C343" s="24"/>
      <c r="D343" s="93"/>
      <c r="E343" s="424"/>
      <c r="G343" s="570" t="s">
        <v>507</v>
      </c>
      <c r="H343" s="50">
        <v>2556</v>
      </c>
      <c r="I343" s="652">
        <f t="shared" ref="I343:I345" si="21">SUM(H343-H342)/H343</f>
        <v>6.8184663536776297E-2</v>
      </c>
      <c r="J343" s="17"/>
    </row>
    <row r="344" spans="1:10">
      <c r="A344" s="313" t="s">
        <v>115</v>
      </c>
      <c r="B344" s="43">
        <f>890+890</f>
        <v>1780</v>
      </c>
      <c r="C344" s="115" t="s">
        <v>115</v>
      </c>
      <c r="D344" s="415">
        <v>3000</v>
      </c>
      <c r="E344" s="424" t="s">
        <v>342</v>
      </c>
      <c r="G344" s="570" t="s">
        <v>508</v>
      </c>
      <c r="H344" s="50">
        <v>2729.45</v>
      </c>
      <c r="I344" s="652">
        <f t="shared" si="21"/>
        <v>6.3547601165069828E-2</v>
      </c>
      <c r="J344" s="17"/>
    </row>
    <row r="345" spans="1:10" ht="13.5" thickBot="1">
      <c r="A345" s="313" t="s">
        <v>218</v>
      </c>
      <c r="B345" s="111">
        <f>+B344</f>
        <v>1780</v>
      </c>
      <c r="C345" s="115" t="s">
        <v>115</v>
      </c>
      <c r="D345" s="415">
        <f>600*2</f>
        <v>1200</v>
      </c>
      <c r="E345" s="424" t="s">
        <v>341</v>
      </c>
      <c r="G345" s="45" t="s">
        <v>509</v>
      </c>
      <c r="H345" s="22">
        <v>2086</v>
      </c>
      <c r="I345" s="652">
        <f t="shared" si="21"/>
        <v>-0.30846116970278037</v>
      </c>
      <c r="J345" s="17"/>
    </row>
    <row r="346" spans="1:10" ht="13.5" thickTop="1">
      <c r="A346" s="414"/>
      <c r="B346" s="24"/>
      <c r="C346" s="24"/>
      <c r="D346" s="93"/>
      <c r="E346" s="424"/>
      <c r="G346" s="45" t="s">
        <v>587</v>
      </c>
      <c r="H346" s="22">
        <f>AVERAGE(H341:H345)</f>
        <v>2192.7519999999995</v>
      </c>
      <c r="I346" s="17"/>
      <c r="J346" s="17"/>
    </row>
    <row r="347" spans="1:10">
      <c r="A347" s="313"/>
      <c r="B347" s="43"/>
      <c r="C347" s="24"/>
      <c r="D347" s="93"/>
      <c r="E347" s="424"/>
      <c r="G347" s="24"/>
      <c r="H347" s="22"/>
      <c r="I347" s="17"/>
      <c r="J347" s="17"/>
    </row>
    <row r="348" spans="1:10">
      <c r="A348" s="313" t="s">
        <v>407</v>
      </c>
      <c r="B348" s="43">
        <f>890+890</f>
        <v>1780</v>
      </c>
      <c r="C348" s="24"/>
      <c r="D348" s="93"/>
      <c r="E348" s="424"/>
      <c r="G348" s="570" t="s">
        <v>599</v>
      </c>
      <c r="H348" s="50">
        <f>+B345</f>
        <v>1780</v>
      </c>
      <c r="I348" s="655">
        <f>SUM(H348-H345)/H348</f>
        <v>-0.17191011235955056</v>
      </c>
      <c r="J348" s="17"/>
    </row>
    <row r="349" spans="1:10" ht="13.5" thickBot="1">
      <c r="A349" s="294" t="str">
        <f>+'YE Projections'!$F$3</f>
        <v>6/30/2024 Projection</v>
      </c>
      <c r="B349" s="111">
        <f>+B345+B347+B348</f>
        <v>3560</v>
      </c>
      <c r="C349" s="442"/>
      <c r="D349" s="93"/>
      <c r="E349" s="424"/>
      <c r="I349" s="17"/>
      <c r="J349" s="17"/>
    </row>
    <row r="350" spans="1:10" ht="14.25" thickTop="1" thickBot="1">
      <c r="A350" s="449"/>
      <c r="B350" s="301"/>
      <c r="C350" s="301"/>
      <c r="D350" s="426"/>
      <c r="E350" s="427"/>
      <c r="I350" s="17"/>
      <c r="J350" s="17"/>
    </row>
    <row r="351" spans="1:10" ht="13.5" thickBot="1">
      <c r="A351" s="28"/>
      <c r="B351" s="24"/>
      <c r="C351" s="24"/>
      <c r="D351" s="93"/>
      <c r="E351" s="428"/>
      <c r="I351" s="17"/>
      <c r="J351" s="17"/>
    </row>
    <row r="352" spans="1:10" ht="15">
      <c r="A352" s="1080" t="s">
        <v>47</v>
      </c>
      <c r="B352" s="1085"/>
      <c r="C352" s="1085"/>
      <c r="D352" s="1085"/>
      <c r="E352" s="1086"/>
      <c r="G352" s="45" t="s">
        <v>501</v>
      </c>
      <c r="H352" s="50" t="s">
        <v>47</v>
      </c>
      <c r="I352" s="17"/>
      <c r="J352" s="17"/>
    </row>
    <row r="353" spans="1:10">
      <c r="A353" s="414"/>
      <c r="B353" s="24"/>
      <c r="C353" s="24"/>
      <c r="D353" s="93"/>
      <c r="E353" s="423"/>
      <c r="G353" s="570" t="s">
        <v>505</v>
      </c>
      <c r="H353" s="50">
        <v>869</v>
      </c>
      <c r="I353" s="17" t="s">
        <v>671</v>
      </c>
      <c r="J353" s="17"/>
    </row>
    <row r="354" spans="1:10" ht="13.5" thickBot="1">
      <c r="A354" s="293" t="str">
        <f>+'YE Projections'!$G$3</f>
        <v>FY 23-24 Budget</v>
      </c>
      <c r="B354" s="111">
        <f>+'YE Projections'!G59</f>
        <v>4000</v>
      </c>
      <c r="C354" s="44" t="str">
        <f>+$C$3</f>
        <v>FY 24-25 Proposed</v>
      </c>
      <c r="D354" s="422">
        <f>SUM(D356:D366)</f>
        <v>4000</v>
      </c>
      <c r="E354" s="977">
        <f>SUM(D354-B354)/B354</f>
        <v>0</v>
      </c>
      <c r="G354" s="570" t="s">
        <v>506</v>
      </c>
      <c r="H354" s="50">
        <v>970.45</v>
      </c>
      <c r="I354" s="652">
        <f>SUM(H354-H353)/H354</f>
        <v>0.10453913133082594</v>
      </c>
      <c r="J354" s="17"/>
    </row>
    <row r="355" spans="1:10" ht="13.5" thickTop="1">
      <c r="A355" s="414"/>
      <c r="B355" s="24"/>
      <c r="C355" s="24"/>
      <c r="D355" s="93"/>
      <c r="E355" s="424"/>
      <c r="G355" s="570" t="s">
        <v>507</v>
      </c>
      <c r="H355" s="50">
        <v>543</v>
      </c>
      <c r="I355" s="652">
        <f t="shared" ref="I355:I357" si="22">SUM(H355-H354)/H355</f>
        <v>-0.78720073664825052</v>
      </c>
      <c r="J355" s="17" t="s">
        <v>504</v>
      </c>
    </row>
    <row r="356" spans="1:10">
      <c r="A356" s="470" t="s">
        <v>433</v>
      </c>
      <c r="B356" s="314">
        <f>362.5+50</f>
        <v>412.5</v>
      </c>
      <c r="C356" s="44" t="s">
        <v>517</v>
      </c>
      <c r="D356" s="415">
        <v>250</v>
      </c>
      <c r="E356" s="424" t="s">
        <v>179</v>
      </c>
      <c r="G356" s="570" t="s">
        <v>508</v>
      </c>
      <c r="H356" s="50">
        <v>450</v>
      </c>
      <c r="I356" s="652">
        <f t="shared" si="22"/>
        <v>-0.20666666666666667</v>
      </c>
      <c r="J356" s="17" t="s">
        <v>504</v>
      </c>
    </row>
    <row r="357" spans="1:10">
      <c r="A357" s="295" t="s">
        <v>646</v>
      </c>
      <c r="B357" s="43">
        <v>230</v>
      </c>
      <c r="C357" s="44" t="s">
        <v>144</v>
      </c>
      <c r="D357" s="415">
        <v>150</v>
      </c>
      <c r="E357" s="424" t="s">
        <v>107</v>
      </c>
      <c r="G357" s="45" t="s">
        <v>509</v>
      </c>
      <c r="H357" s="22">
        <v>824</v>
      </c>
      <c r="I357" s="652">
        <f t="shared" si="22"/>
        <v>0.45388349514563109</v>
      </c>
      <c r="J357" s="17"/>
    </row>
    <row r="358" spans="1:10">
      <c r="A358" s="295" t="s">
        <v>540</v>
      </c>
      <c r="B358" s="43"/>
      <c r="C358" s="44" t="s">
        <v>182</v>
      </c>
      <c r="D358" s="415">
        <v>15</v>
      </c>
      <c r="E358" s="424" t="s">
        <v>107</v>
      </c>
      <c r="G358" s="45" t="s">
        <v>587</v>
      </c>
      <c r="H358" s="22">
        <f>AVERAGE(H353:H357)</f>
        <v>731.29</v>
      </c>
      <c r="I358" s="17"/>
      <c r="J358" s="17"/>
    </row>
    <row r="359" spans="1:10">
      <c r="A359" s="295" t="s">
        <v>645</v>
      </c>
      <c r="B359" s="43">
        <v>70</v>
      </c>
      <c r="C359" s="44" t="s">
        <v>145</v>
      </c>
      <c r="D359" s="415">
        <v>225</v>
      </c>
      <c r="E359" s="424" t="s">
        <v>107</v>
      </c>
      <c r="G359" s="24"/>
      <c r="H359" s="22"/>
      <c r="I359" s="17"/>
      <c r="J359" s="17"/>
    </row>
    <row r="360" spans="1:10">
      <c r="A360" s="594"/>
      <c r="B360" s="24"/>
      <c r="C360" s="44" t="s">
        <v>146</v>
      </c>
      <c r="D360" s="415">
        <v>30</v>
      </c>
      <c r="E360" s="424" t="s">
        <v>150</v>
      </c>
      <c r="G360" s="570" t="s">
        <v>599</v>
      </c>
      <c r="H360" s="50">
        <f>+B361</f>
        <v>712.5</v>
      </c>
      <c r="I360" s="655">
        <f>SUM(H360-H357)/H360</f>
        <v>-0.15649122807017543</v>
      </c>
      <c r="J360" s="17"/>
    </row>
    <row r="361" spans="1:10" ht="13.5" thickBot="1">
      <c r="A361" s="313" t="s">
        <v>218</v>
      </c>
      <c r="B361" s="101">
        <f>SUM(B356:B360)</f>
        <v>712.5</v>
      </c>
      <c r="C361" s="44" t="s">
        <v>148</v>
      </c>
      <c r="D361" s="415">
        <v>50</v>
      </c>
      <c r="E361" s="424" t="s">
        <v>104</v>
      </c>
      <c r="H361" s="2"/>
      <c r="I361" s="17"/>
      <c r="J361" s="17"/>
    </row>
    <row r="362" spans="1:10" ht="13.5" thickTop="1">
      <c r="A362" s="61"/>
      <c r="B362" s="24"/>
      <c r="C362" s="44" t="s">
        <v>343</v>
      </c>
      <c r="D362" s="415">
        <v>20</v>
      </c>
      <c r="E362" s="424" t="s">
        <v>141</v>
      </c>
      <c r="I362" s="17"/>
      <c r="J362" s="17"/>
    </row>
    <row r="363" spans="1:10">
      <c r="A363" s="61"/>
      <c r="B363" s="24"/>
      <c r="C363" s="44" t="s">
        <v>344</v>
      </c>
      <c r="D363" s="415">
        <v>1400</v>
      </c>
      <c r="E363" s="424" t="s">
        <v>149</v>
      </c>
      <c r="I363" s="17"/>
      <c r="J363" s="17"/>
    </row>
    <row r="364" spans="1:10">
      <c r="A364" s="313" t="s">
        <v>407</v>
      </c>
      <c r="B364" s="43">
        <f>SUM(B361/'YE Projections'!A3)</f>
        <v>356.25</v>
      </c>
      <c r="C364" s="44" t="s">
        <v>172</v>
      </c>
      <c r="D364" s="415">
        <f>4000-2140</f>
        <v>1860</v>
      </c>
      <c r="E364" s="424" t="s">
        <v>542</v>
      </c>
      <c r="I364" s="17"/>
      <c r="J364" s="17"/>
    </row>
    <row r="365" spans="1:10" ht="13.5" thickBot="1">
      <c r="A365" s="294" t="str">
        <f>+'YE Projections'!$F$3</f>
        <v>6/30/2024 Projection</v>
      </c>
      <c r="B365" s="101">
        <f>SUM(B361:B364)</f>
        <v>1068.75</v>
      </c>
      <c r="C365" s="24"/>
      <c r="D365" s="24"/>
      <c r="E365" s="66"/>
      <c r="I365" s="17"/>
      <c r="J365" s="17"/>
    </row>
    <row r="366" spans="1:10" ht="14.25" thickTop="1" thickBot="1">
      <c r="A366" s="449"/>
      <c r="B366" s="301"/>
      <c r="C366" s="298"/>
      <c r="D366" s="437"/>
      <c r="E366" s="427"/>
      <c r="I366" s="17"/>
      <c r="J366" s="17"/>
    </row>
    <row r="367" spans="1:10" ht="13.5" thickBot="1">
      <c r="A367" s="28"/>
      <c r="B367" s="24"/>
      <c r="C367" s="24"/>
      <c r="D367" s="93"/>
      <c r="E367" s="428"/>
      <c r="I367" s="17"/>
      <c r="J367" s="17"/>
    </row>
    <row r="368" spans="1:10" ht="15">
      <c r="A368" s="1080" t="s">
        <v>48</v>
      </c>
      <c r="B368" s="1088"/>
      <c r="C368" s="1088"/>
      <c r="D368" s="1088"/>
      <c r="E368" s="1089"/>
      <c r="G368" s="45" t="s">
        <v>501</v>
      </c>
      <c r="H368" s="50" t="s">
        <v>48</v>
      </c>
      <c r="I368" s="17"/>
      <c r="J368" s="17"/>
    </row>
    <row r="369" spans="1:10">
      <c r="A369" s="414"/>
      <c r="B369" s="24"/>
      <c r="C369" s="24"/>
      <c r="D369" s="93"/>
      <c r="E369" s="421"/>
      <c r="G369" s="570" t="s">
        <v>505</v>
      </c>
      <c r="H369" s="50">
        <v>3660.84</v>
      </c>
      <c r="I369" s="17" t="s">
        <v>671</v>
      </c>
      <c r="J369" s="17"/>
    </row>
    <row r="370" spans="1:10" ht="13.5" thickBot="1">
      <c r="A370" s="293" t="str">
        <f>+'YE Projections'!$G$3</f>
        <v>FY 23-24 Budget</v>
      </c>
      <c r="B370" s="111">
        <f>+'YE Projections'!G60</f>
        <v>7000</v>
      </c>
      <c r="C370" s="44" t="str">
        <f>+$C$3</f>
        <v>FY 24-25 Proposed</v>
      </c>
      <c r="D370" s="422">
        <f>SUM(D372:D384)</f>
        <v>7000</v>
      </c>
      <c r="E370" s="977">
        <f>SUM(D370-B370)/B370</f>
        <v>0</v>
      </c>
      <c r="G370" s="570" t="s">
        <v>506</v>
      </c>
      <c r="H370" s="50">
        <v>4734.8100000000004</v>
      </c>
      <c r="I370" s="652">
        <f>SUM(H370-H369)/H370</f>
        <v>0.22682430762797243</v>
      </c>
      <c r="J370" s="17"/>
    </row>
    <row r="371" spans="1:10" ht="13.5" thickTop="1">
      <c r="A371" s="414"/>
      <c r="B371" s="24"/>
      <c r="C371" s="24"/>
      <c r="D371" s="93"/>
      <c r="E371" s="424"/>
      <c r="G371" s="570" t="s">
        <v>507</v>
      </c>
      <c r="H371" s="50">
        <v>0</v>
      </c>
      <c r="I371" s="652">
        <v>0</v>
      </c>
      <c r="J371" s="17" t="s">
        <v>504</v>
      </c>
    </row>
    <row r="372" spans="1:10">
      <c r="A372" s="313" t="s">
        <v>598</v>
      </c>
      <c r="B372" s="43"/>
      <c r="C372" s="44" t="s">
        <v>180</v>
      </c>
      <c r="D372" s="415">
        <v>250</v>
      </c>
      <c r="E372" s="424"/>
      <c r="G372" s="570" t="s">
        <v>508</v>
      </c>
      <c r="H372" s="50">
        <v>2890.48</v>
      </c>
      <c r="I372" s="652">
        <v>0</v>
      </c>
      <c r="J372" s="17" t="s">
        <v>504</v>
      </c>
    </row>
    <row r="373" spans="1:10">
      <c r="A373" s="313" t="s">
        <v>729</v>
      </c>
      <c r="B373" s="43">
        <f>921.37+307.12-409.5-11.5+73.6</f>
        <v>881.09</v>
      </c>
      <c r="C373" s="44" t="s">
        <v>347</v>
      </c>
      <c r="D373" s="415">
        <v>1000</v>
      </c>
      <c r="E373" s="424" t="s">
        <v>719</v>
      </c>
      <c r="G373" s="45" t="s">
        <v>509</v>
      </c>
      <c r="H373" s="22">
        <v>2230.75</v>
      </c>
      <c r="I373" s="652">
        <f t="shared" ref="I373" si="23">SUM(H373-H372)/H373</f>
        <v>-0.29574358399641376</v>
      </c>
      <c r="J373" s="17"/>
    </row>
    <row r="374" spans="1:10">
      <c r="A374" s="313" t="s">
        <v>667</v>
      </c>
      <c r="B374" s="43">
        <v>1136.3900000000001</v>
      </c>
      <c r="C374" s="44" t="s">
        <v>518</v>
      </c>
      <c r="D374" s="415">
        <f>300*2</f>
        <v>600</v>
      </c>
      <c r="E374" s="424" t="s">
        <v>730</v>
      </c>
      <c r="G374" s="45" t="s">
        <v>587</v>
      </c>
      <c r="H374" s="22">
        <f>AVERAGE(H369:H373)</f>
        <v>2703.3760000000002</v>
      </c>
      <c r="I374" s="17"/>
      <c r="J374" s="17"/>
    </row>
    <row r="375" spans="1:10">
      <c r="A375" s="313" t="s">
        <v>932</v>
      </c>
      <c r="B375" s="43">
        <v>275</v>
      </c>
      <c r="C375" s="44" t="s">
        <v>238</v>
      </c>
      <c r="D375" s="415">
        <f>150*6</f>
        <v>900</v>
      </c>
      <c r="E375" s="424" t="s">
        <v>731</v>
      </c>
      <c r="G375" s="24"/>
      <c r="H375" s="22"/>
      <c r="I375" s="17"/>
      <c r="J375" s="17"/>
    </row>
    <row r="376" spans="1:10">
      <c r="A376" s="470" t="s">
        <v>573</v>
      </c>
      <c r="B376" s="596">
        <f>189.95+303.58+249.24</f>
        <v>742.77</v>
      </c>
      <c r="C376" s="44" t="s">
        <v>238</v>
      </c>
      <c r="D376" s="415">
        <f>600*0.67</f>
        <v>402</v>
      </c>
      <c r="E376" s="424" t="s">
        <v>732</v>
      </c>
      <c r="G376" s="570" t="s">
        <v>599</v>
      </c>
      <c r="H376" s="50">
        <f>+B379</f>
        <v>4349.8300000000008</v>
      </c>
      <c r="I376" s="655">
        <f>SUM(H376-H373)/H376</f>
        <v>0.48716386617408047</v>
      </c>
      <c r="J376" s="17"/>
    </row>
    <row r="377" spans="1:10">
      <c r="A377" s="657" t="s">
        <v>345</v>
      </c>
      <c r="B377" s="43">
        <f>561.61+191.53+330.22+7.5</f>
        <v>1090.8600000000001</v>
      </c>
      <c r="C377" s="44" t="s">
        <v>238</v>
      </c>
      <c r="D377" s="415">
        <f>45*2</f>
        <v>90</v>
      </c>
      <c r="E377" s="424" t="s">
        <v>733</v>
      </c>
      <c r="G377" s="570"/>
      <c r="H377" s="50"/>
      <c r="I377" s="17"/>
      <c r="J377" s="17"/>
    </row>
    <row r="378" spans="1:10">
      <c r="A378" s="25" t="s">
        <v>1028</v>
      </c>
      <c r="B378" s="5">
        <v>223.72</v>
      </c>
      <c r="C378" s="112" t="s">
        <v>345</v>
      </c>
      <c r="D378" s="415">
        <v>1500</v>
      </c>
      <c r="E378" s="424"/>
      <c r="I378" s="17"/>
      <c r="J378" s="17"/>
    </row>
    <row r="379" spans="1:10" ht="13.5" thickBot="1">
      <c r="A379" s="313" t="s">
        <v>218</v>
      </c>
      <c r="B379" s="111">
        <f>SUM(B372:B378)</f>
        <v>4349.8300000000008</v>
      </c>
      <c r="C379" s="44" t="s">
        <v>541</v>
      </c>
      <c r="D379" s="415">
        <v>800</v>
      </c>
      <c r="E379" s="424"/>
      <c r="I379" s="17"/>
      <c r="J379" s="17"/>
    </row>
    <row r="380" spans="1:10" ht="13.5" thickTop="1">
      <c r="A380" s="594"/>
      <c r="B380" s="24"/>
      <c r="C380" s="115" t="s">
        <v>598</v>
      </c>
      <c r="D380" s="415">
        <v>1000</v>
      </c>
      <c r="E380" s="424"/>
      <c r="G380" s="345"/>
      <c r="I380" s="17"/>
      <c r="J380" s="17"/>
    </row>
    <row r="381" spans="1:10">
      <c r="A381" s="594"/>
      <c r="B381" s="43"/>
      <c r="C381" s="44" t="s">
        <v>225</v>
      </c>
      <c r="D381" s="415">
        <v>458</v>
      </c>
      <c r="E381" s="424"/>
      <c r="I381" s="17"/>
      <c r="J381" s="17"/>
    </row>
    <row r="382" spans="1:10">
      <c r="A382" s="313" t="s">
        <v>407</v>
      </c>
      <c r="B382" s="43">
        <v>120</v>
      </c>
      <c r="C382" s="24"/>
      <c r="D382" s="24"/>
      <c r="E382" s="66"/>
      <c r="I382" s="17"/>
      <c r="J382" s="17"/>
    </row>
    <row r="383" spans="1:10" ht="13.5" thickBot="1">
      <c r="A383" s="294" t="str">
        <f>+'YE Projections'!$F$3</f>
        <v>6/30/2024 Projection</v>
      </c>
      <c r="B383" s="111">
        <f>SUM(B379:B382)</f>
        <v>4469.8300000000008</v>
      </c>
      <c r="C383" s="442"/>
      <c r="D383" s="93"/>
      <c r="E383" s="424"/>
      <c r="I383" s="17"/>
      <c r="J383" s="17"/>
    </row>
    <row r="384" spans="1:10" ht="14.25" thickTop="1" thickBot="1">
      <c r="A384" s="449"/>
      <c r="B384" s="301"/>
      <c r="C384" s="301"/>
      <c r="D384" s="426"/>
      <c r="E384" s="427"/>
      <c r="I384" s="17"/>
      <c r="J384" s="17"/>
    </row>
    <row r="385" spans="1:15" ht="13.5" thickBot="1">
      <c r="I385" s="17"/>
      <c r="J385" s="17"/>
    </row>
    <row r="386" spans="1:15">
      <c r="A386" s="1080" t="s">
        <v>49</v>
      </c>
      <c r="B386" s="1081"/>
      <c r="C386" s="1081"/>
      <c r="D386" s="1081"/>
      <c r="E386" s="1082"/>
      <c r="G386" s="45" t="s">
        <v>501</v>
      </c>
      <c r="H386" s="50" t="s">
        <v>49</v>
      </c>
      <c r="J386" s="28"/>
      <c r="K386" s="24"/>
      <c r="L386" s="24"/>
      <c r="M386" s="24"/>
      <c r="N386" s="24"/>
      <c r="O386" s="24"/>
    </row>
    <row r="387" spans="1:15">
      <c r="A387" s="312"/>
      <c r="B387" s="45"/>
      <c r="C387" s="45"/>
      <c r="D387" s="45"/>
      <c r="E387" s="380"/>
      <c r="G387" s="570" t="s">
        <v>505</v>
      </c>
      <c r="H387" s="50">
        <v>7524.08</v>
      </c>
      <c r="I387" s="17" t="s">
        <v>671</v>
      </c>
      <c r="J387" s="609"/>
      <c r="K387" s="570"/>
      <c r="L387" s="24"/>
      <c r="M387" s="24"/>
      <c r="N387" s="570"/>
      <c r="O387" s="24"/>
    </row>
    <row r="388" spans="1:15" ht="13.5" thickBot="1">
      <c r="A388" s="443" t="str">
        <f>+'YE Projections'!$G$3</f>
        <v>FY 23-24 Budget</v>
      </c>
      <c r="B388" s="101">
        <f>+'YE Projections'!G61</f>
        <v>10000</v>
      </c>
      <c r="C388" s="44" t="str">
        <f>+'YE Projections'!$I$3</f>
        <v>FY 24-25 Proposed</v>
      </c>
      <c r="D388" s="111">
        <f>SUM(D390:D405)</f>
        <v>10000</v>
      </c>
      <c r="E388" s="977">
        <f>SUM(D388-B388)/B388</f>
        <v>0</v>
      </c>
      <c r="G388" s="570" t="s">
        <v>506</v>
      </c>
      <c r="H388" s="50">
        <v>6068.91</v>
      </c>
      <c r="I388" s="652">
        <f>SUM(H388-H387)/H388</f>
        <v>-0.23977452293739734</v>
      </c>
      <c r="J388" s="17" t="s">
        <v>504</v>
      </c>
      <c r="K388" s="42"/>
      <c r="L388" s="43"/>
      <c r="M388" s="43"/>
      <c r="N388" s="42"/>
      <c r="O388" s="24"/>
    </row>
    <row r="389" spans="1:15" ht="13.5" thickTop="1">
      <c r="A389" s="414"/>
      <c r="B389" s="28"/>
      <c r="C389" s="28"/>
      <c r="D389" s="24"/>
      <c r="E389" s="305"/>
      <c r="G389" s="570" t="s">
        <v>507</v>
      </c>
      <c r="H389" s="50">
        <v>7857.99</v>
      </c>
      <c r="I389" s="652">
        <f t="shared" ref="I389:I391" si="24">SUM(H389-H388)/H389</f>
        <v>0.22767654323815631</v>
      </c>
      <c r="J389" s="50"/>
      <c r="K389" s="42"/>
      <c r="L389" s="43"/>
      <c r="M389" s="43"/>
      <c r="N389" s="42"/>
      <c r="O389" s="24"/>
    </row>
    <row r="390" spans="1:15">
      <c r="A390" s="313" t="s">
        <v>707</v>
      </c>
      <c r="B390" s="22">
        <v>54.99</v>
      </c>
      <c r="D390" s="43">
        <v>9000</v>
      </c>
      <c r="E390" s="662" t="s">
        <v>212</v>
      </c>
      <c r="G390" s="570" t="s">
        <v>508</v>
      </c>
      <c r="H390" s="50">
        <v>6204.62</v>
      </c>
      <c r="I390" s="652">
        <f t="shared" si="24"/>
        <v>-0.26647401452466063</v>
      </c>
      <c r="J390" s="50"/>
      <c r="K390" s="42"/>
      <c r="L390" s="43"/>
      <c r="M390" s="43"/>
      <c r="N390" s="42"/>
      <c r="O390" s="24"/>
    </row>
    <row r="391" spans="1:15">
      <c r="A391" s="313" t="s">
        <v>350</v>
      </c>
      <c r="B391" s="22">
        <f>1041.46+349.71+523.87+172.87+127.17</f>
        <v>2215.08</v>
      </c>
      <c r="C391" s="115"/>
      <c r="D391" s="43">
        <v>600</v>
      </c>
      <c r="E391" s="528" t="s">
        <v>942</v>
      </c>
      <c r="G391" s="45" t="s">
        <v>509</v>
      </c>
      <c r="H391" s="22">
        <v>9069.0499999999993</v>
      </c>
      <c r="I391" s="652">
        <f t="shared" si="24"/>
        <v>0.31584675351883601</v>
      </c>
      <c r="J391" s="50"/>
      <c r="K391" s="42"/>
      <c r="L391" s="43"/>
      <c r="M391" s="43"/>
      <c r="N391" s="42"/>
      <c r="O391" s="24"/>
    </row>
    <row r="392" spans="1:15">
      <c r="A392" s="313" t="s">
        <v>706</v>
      </c>
      <c r="B392" s="22">
        <v>181.91</v>
      </c>
      <c r="C392" s="115"/>
      <c r="D392" s="43">
        <v>400</v>
      </c>
      <c r="E392" s="66" t="s">
        <v>983</v>
      </c>
      <c r="G392" s="45" t="s">
        <v>587</v>
      </c>
      <c r="H392" s="22">
        <f>AVERAGE(H387:H391)</f>
        <v>7344.9299999999985</v>
      </c>
      <c r="J392" s="50"/>
      <c r="K392" s="42"/>
      <c r="L392" s="43"/>
      <c r="M392" s="43"/>
      <c r="N392" s="42"/>
      <c r="O392" s="24"/>
    </row>
    <row r="393" spans="1:15">
      <c r="A393" s="313" t="s">
        <v>437</v>
      </c>
      <c r="B393" s="22">
        <f>149.5+496.3+339.05+257+144.83+273.15</f>
        <v>1659.83</v>
      </c>
      <c r="C393" s="115"/>
      <c r="D393" s="43"/>
      <c r="E393" s="66"/>
      <c r="G393" s="24"/>
      <c r="H393" s="22"/>
      <c r="I393" s="355"/>
      <c r="J393" s="50"/>
      <c r="K393" s="42"/>
      <c r="L393" s="43"/>
      <c r="M393" s="43"/>
      <c r="N393" s="42"/>
      <c r="O393" s="24"/>
    </row>
    <row r="394" spans="1:15">
      <c r="A394" s="295" t="s">
        <v>654</v>
      </c>
      <c r="B394" s="22">
        <f>-217.5-117</f>
        <v>-334.5</v>
      </c>
      <c r="C394" s="115"/>
      <c r="D394" s="43"/>
      <c r="E394" s="66"/>
      <c r="G394" s="570" t="s">
        <v>599</v>
      </c>
      <c r="H394" s="50">
        <f>+B402</f>
        <v>8800.7099999999991</v>
      </c>
      <c r="I394" s="655">
        <f>SUM(H394-H391)/H394</f>
        <v>-3.0490721771311652E-2</v>
      </c>
      <c r="J394" s="28"/>
      <c r="K394" s="24"/>
      <c r="L394" s="24"/>
      <c r="M394" s="24"/>
      <c r="N394" s="24"/>
      <c r="O394" s="24"/>
    </row>
    <row r="395" spans="1:15">
      <c r="A395" s="295" t="s">
        <v>713</v>
      </c>
      <c r="B395" s="22">
        <f>362.4+379.87</f>
        <v>742.27</v>
      </c>
      <c r="C395" s="115"/>
      <c r="D395" s="93"/>
      <c r="E395" s="92"/>
      <c r="G395" s="570"/>
      <c r="H395" s="50"/>
      <c r="I395" s="655"/>
      <c r="J395" s="28"/>
      <c r="K395" s="24"/>
      <c r="L395" s="24"/>
      <c r="M395" s="24"/>
      <c r="N395" s="24"/>
      <c r="O395" s="24"/>
    </row>
    <row r="396" spans="1:15">
      <c r="A396" s="313" t="s">
        <v>677</v>
      </c>
      <c r="B396" s="22">
        <f>347+666.6</f>
        <v>1013.6</v>
      </c>
      <c r="C396" s="115"/>
      <c r="D396" s="43"/>
      <c r="E396" s="66"/>
      <c r="J396" s="28"/>
      <c r="K396" s="24"/>
      <c r="L396" s="24"/>
      <c r="M396" s="24"/>
      <c r="N396" s="24"/>
      <c r="O396" s="24"/>
    </row>
    <row r="397" spans="1:15">
      <c r="A397" s="313" t="s">
        <v>520</v>
      </c>
      <c r="B397" s="22">
        <f>315.91+139.99+10.98+13.99+726.87-34+15.78</f>
        <v>1189.52</v>
      </c>
      <c r="C397" s="115"/>
      <c r="D397" s="43"/>
      <c r="E397" s="66"/>
      <c r="J397" s="28"/>
      <c r="K397" s="24"/>
      <c r="L397" s="24"/>
      <c r="M397" s="24"/>
      <c r="N397" s="24"/>
      <c r="O397" s="24"/>
    </row>
    <row r="398" spans="1:15">
      <c r="A398" s="313" t="s">
        <v>942</v>
      </c>
      <c r="B398" s="22">
        <v>567</v>
      </c>
      <c r="C398" s="115"/>
      <c r="D398" s="43"/>
      <c r="E398" s="66"/>
      <c r="J398" s="28"/>
      <c r="K398" s="24"/>
      <c r="L398" s="24"/>
      <c r="M398" s="24"/>
      <c r="N398" s="24"/>
      <c r="O398" s="24"/>
    </row>
    <row r="399" spans="1:15">
      <c r="A399" s="313" t="s">
        <v>708</v>
      </c>
      <c r="B399" s="22">
        <v>228.13</v>
      </c>
      <c r="C399" s="115"/>
      <c r="D399" s="43"/>
      <c r="E399" s="66"/>
      <c r="J399" s="28"/>
      <c r="K399" s="24"/>
      <c r="L399" s="24"/>
      <c r="M399" s="24"/>
      <c r="N399" s="24"/>
      <c r="O399" s="24"/>
    </row>
    <row r="400" spans="1:15">
      <c r="A400" s="313" t="s">
        <v>368</v>
      </c>
      <c r="B400" s="22">
        <f>6.89+0.2+118.16+97.98+135.75+254.64+47.49+34.99+0.1+101.98+32.99</f>
        <v>831.17000000000007</v>
      </c>
      <c r="C400" s="115"/>
      <c r="D400" s="43"/>
      <c r="E400" s="66"/>
      <c r="J400" s="28"/>
      <c r="K400" s="24"/>
      <c r="L400" s="24"/>
      <c r="M400" s="24"/>
      <c r="N400" s="24"/>
      <c r="O400" s="24"/>
    </row>
    <row r="401" spans="1:15">
      <c r="A401" s="313" t="s">
        <v>436</v>
      </c>
      <c r="B401" s="22">
        <f>288.74+36.61+126.36</f>
        <v>451.71000000000004</v>
      </c>
      <c r="C401" s="115"/>
      <c r="D401" s="43"/>
      <c r="E401" s="66"/>
      <c r="J401" s="28"/>
      <c r="K401" s="24"/>
      <c r="L401" s="24"/>
      <c r="M401" s="24"/>
      <c r="N401" s="24"/>
      <c r="O401" s="24"/>
    </row>
    <row r="402" spans="1:15" ht="13.5" thickBot="1">
      <c r="A402" s="443" t="s">
        <v>218</v>
      </c>
      <c r="B402" s="101">
        <f>SUM(B390:B401)</f>
        <v>8800.7099999999991</v>
      </c>
      <c r="C402" s="527"/>
      <c r="D402" s="43"/>
      <c r="E402" s="66"/>
      <c r="J402" s="17"/>
    </row>
    <row r="403" spans="1:15" ht="13.5" thickTop="1">
      <c r="A403" s="443"/>
      <c r="B403" s="43"/>
      <c r="C403" s="44"/>
      <c r="D403" s="43"/>
      <c r="E403" s="66"/>
      <c r="J403" s="17"/>
    </row>
    <row r="404" spans="1:15">
      <c r="A404" s="313" t="s">
        <v>407</v>
      </c>
      <c r="B404" s="43">
        <f>+B388-B402</f>
        <v>1199.2900000000009</v>
      </c>
      <c r="C404" s="44"/>
      <c r="D404" s="43"/>
      <c r="E404" s="66"/>
      <c r="J404" s="17"/>
    </row>
    <row r="405" spans="1:15" ht="13.5" thickBot="1">
      <c r="A405" s="294" t="str">
        <f>+'YE Projections'!$F$3</f>
        <v>6/30/2024 Projection</v>
      </c>
      <c r="B405" s="101">
        <f>+B402+B404</f>
        <v>10000</v>
      </c>
      <c r="C405" s="32"/>
      <c r="D405" s="24"/>
      <c r="E405" s="66"/>
      <c r="J405" s="17"/>
    </row>
    <row r="406" spans="1:15" ht="14.25" thickTop="1" thickBot="1">
      <c r="A406" s="467"/>
      <c r="B406" s="297"/>
      <c r="C406" s="301"/>
      <c r="D406" s="301"/>
      <c r="E406" s="299"/>
      <c r="J406" s="17"/>
    </row>
    <row r="407" spans="1:15" ht="13.5" thickBot="1">
      <c r="A407" s="28"/>
      <c r="C407" s="24"/>
      <c r="D407" s="2"/>
      <c r="E407" s="2"/>
      <c r="J407" s="17"/>
    </row>
    <row r="408" spans="1:15">
      <c r="A408" s="1080" t="s">
        <v>50</v>
      </c>
      <c r="B408" s="1081"/>
      <c r="C408" s="1081"/>
      <c r="D408" s="1081"/>
      <c r="E408" s="1082"/>
      <c r="G408" s="570" t="s">
        <v>501</v>
      </c>
      <c r="H408" s="50" t="s">
        <v>50</v>
      </c>
      <c r="J408" s="17"/>
    </row>
    <row r="409" spans="1:15">
      <c r="A409" s="312"/>
      <c r="B409" s="45"/>
      <c r="C409" s="45"/>
      <c r="D409" s="45"/>
      <c r="E409" s="380"/>
      <c r="G409" s="570" t="s">
        <v>505</v>
      </c>
      <c r="H409" s="50">
        <v>523.03</v>
      </c>
      <c r="I409" s="17" t="s">
        <v>671</v>
      </c>
      <c r="J409" s="17"/>
    </row>
    <row r="410" spans="1:15" ht="13.5" thickBot="1">
      <c r="A410" s="443" t="str">
        <f>+'YE Projections'!$G$3</f>
        <v>FY 23-24 Budget</v>
      </c>
      <c r="B410" s="101">
        <f>+'YE Projections'!G62</f>
        <v>600</v>
      </c>
      <c r="C410" s="44" t="str">
        <f>+'YE Projections'!$I$3</f>
        <v>FY 24-25 Proposed</v>
      </c>
      <c r="D410" s="111">
        <f>SUM(D412:D421)</f>
        <v>600</v>
      </c>
      <c r="E410" s="977">
        <f>SUM(D410-B410)/B410</f>
        <v>0</v>
      </c>
      <c r="G410" s="570" t="s">
        <v>506</v>
      </c>
      <c r="H410" s="50">
        <v>392.28</v>
      </c>
      <c r="I410" s="652">
        <f>SUM(H410-H409)/H410</f>
        <v>-0.33330784133781993</v>
      </c>
      <c r="J410" s="17" t="s">
        <v>504</v>
      </c>
      <c r="K410" s="42"/>
      <c r="L410" s="43"/>
      <c r="M410" s="5"/>
      <c r="N410" s="42"/>
    </row>
    <row r="411" spans="1:15" ht="13.5" thickTop="1">
      <c r="A411" s="414"/>
      <c r="B411" s="43"/>
      <c r="C411" s="44"/>
      <c r="D411" s="32"/>
      <c r="E411" s="66"/>
      <c r="G411" s="570" t="s">
        <v>507</v>
      </c>
      <c r="H411" s="50">
        <v>95.88</v>
      </c>
      <c r="I411" s="652">
        <f t="shared" ref="I411:I413" si="25">SUM(H411-H410)/H411</f>
        <v>-3.0913642052565704</v>
      </c>
      <c r="J411" s="17" t="s">
        <v>504</v>
      </c>
      <c r="K411" s="42"/>
      <c r="L411" s="43"/>
      <c r="M411" s="5"/>
      <c r="N411" s="42"/>
    </row>
    <row r="412" spans="1:15">
      <c r="A412" s="313" t="s">
        <v>709</v>
      </c>
      <c r="B412" s="43">
        <v>16.75</v>
      </c>
      <c r="D412" s="415">
        <v>480</v>
      </c>
      <c r="E412" s="471" t="s">
        <v>349</v>
      </c>
      <c r="G412" s="570" t="s">
        <v>508</v>
      </c>
      <c r="H412" s="50">
        <v>226.53</v>
      </c>
      <c r="I412" s="652">
        <f t="shared" si="25"/>
        <v>0.5767448020129784</v>
      </c>
      <c r="J412" s="42"/>
      <c r="K412" s="42"/>
      <c r="L412" s="43"/>
      <c r="M412" s="5"/>
      <c r="N412" s="42"/>
    </row>
    <row r="413" spans="1:15">
      <c r="A413" s="313" t="s">
        <v>348</v>
      </c>
      <c r="B413" s="43">
        <f>9.99*10</f>
        <v>99.9</v>
      </c>
      <c r="D413" s="43">
        <v>120</v>
      </c>
      <c r="E413" s="471" t="s">
        <v>565</v>
      </c>
      <c r="G413" s="45" t="s">
        <v>509</v>
      </c>
      <c r="H413" s="22">
        <v>264.64</v>
      </c>
      <c r="I413" s="652">
        <f t="shared" si="25"/>
        <v>0.14400695284159609</v>
      </c>
      <c r="J413" s="42"/>
      <c r="K413" s="42"/>
      <c r="L413" s="43"/>
      <c r="M413" s="5"/>
      <c r="N413" s="42"/>
    </row>
    <row r="414" spans="1:15">
      <c r="A414" s="313" t="s">
        <v>678</v>
      </c>
      <c r="B414" s="43">
        <f>29.83+6.99</f>
        <v>36.82</v>
      </c>
      <c r="C414" s="44"/>
      <c r="D414" s="43"/>
      <c r="E414" s="66"/>
      <c r="G414" s="45" t="s">
        <v>587</v>
      </c>
      <c r="H414" s="22">
        <f>AVERAGE(H409:H413)</f>
        <v>300.47200000000004</v>
      </c>
    </row>
    <row r="415" spans="1:15">
      <c r="A415" s="313" t="s">
        <v>521</v>
      </c>
      <c r="B415" s="43">
        <v>79.349999999999994</v>
      </c>
      <c r="C415" s="44"/>
      <c r="D415" s="43"/>
      <c r="E415" s="66"/>
      <c r="G415" s="24"/>
      <c r="H415" s="22"/>
    </row>
    <row r="416" spans="1:15" ht="13.5" thickBot="1">
      <c r="A416" s="313" t="s">
        <v>218</v>
      </c>
      <c r="B416" s="101">
        <f>SUM(B412:B415)</f>
        <v>232.82</v>
      </c>
      <c r="C416" s="44"/>
      <c r="D416" s="43"/>
      <c r="E416" s="66"/>
      <c r="G416" s="570" t="s">
        <v>599</v>
      </c>
      <c r="H416" s="50">
        <f>+B416</f>
        <v>232.82</v>
      </c>
      <c r="I416" s="655">
        <f>SUM(H416-H413)/H416</f>
        <v>-0.13667210720728457</v>
      </c>
    </row>
    <row r="417" spans="1:9" ht="13.5" thickTop="1">
      <c r="A417" s="313"/>
      <c r="B417" s="43"/>
      <c r="C417" s="442"/>
      <c r="D417" s="24"/>
      <c r="E417" s="66"/>
    </row>
    <row r="418" spans="1:9">
      <c r="A418" s="313" t="s">
        <v>407</v>
      </c>
      <c r="B418" s="43">
        <f>+H414-B416</f>
        <v>67.652000000000044</v>
      </c>
      <c r="C418" s="24"/>
      <c r="D418" s="24"/>
      <c r="E418" s="66"/>
    </row>
    <row r="419" spans="1:9" ht="13.5" thickBot="1">
      <c r="A419" s="294" t="str">
        <f>+'YE Projections'!$F$3</f>
        <v>6/30/2024 Projection</v>
      </c>
      <c r="B419" s="101">
        <f>+B416+B418</f>
        <v>300.47200000000004</v>
      </c>
      <c r="C419" s="44"/>
      <c r="D419" s="24"/>
      <c r="E419" s="66"/>
    </row>
    <row r="420" spans="1:9" ht="14.25" thickTop="1" thickBot="1">
      <c r="A420" s="462"/>
      <c r="B420" s="297"/>
      <c r="C420" s="298"/>
      <c r="D420" s="301"/>
      <c r="E420" s="299"/>
    </row>
    <row r="421" spans="1:9" ht="13.5" thickBot="1">
      <c r="A421" s="28"/>
      <c r="C421" s="44"/>
      <c r="D421" s="2"/>
      <c r="E421" s="2"/>
    </row>
    <row r="422" spans="1:9">
      <c r="A422" s="1080" t="s">
        <v>51</v>
      </c>
      <c r="B422" s="1081"/>
      <c r="C422" s="1081"/>
      <c r="D422" s="1081"/>
      <c r="E422" s="1082"/>
      <c r="G422" s="570" t="s">
        <v>501</v>
      </c>
      <c r="H422" s="50" t="s">
        <v>51</v>
      </c>
    </row>
    <row r="423" spans="1:9">
      <c r="A423" s="312"/>
      <c r="B423" s="45"/>
      <c r="C423" s="45"/>
      <c r="D423" s="45"/>
      <c r="E423" s="380"/>
      <c r="G423" s="570" t="s">
        <v>505</v>
      </c>
      <c r="H423" s="50">
        <v>4516.34</v>
      </c>
      <c r="I423" s="17" t="s">
        <v>671</v>
      </c>
    </row>
    <row r="424" spans="1:9" ht="13.5" thickBot="1">
      <c r="A424" s="443" t="str">
        <f>+'YE Projections'!$G$3</f>
        <v>FY 23-24 Budget</v>
      </c>
      <c r="B424" s="101">
        <f>+'YE Projections'!G63</f>
        <v>5400</v>
      </c>
      <c r="C424" s="44" t="str">
        <f>+'YE Projections'!$I$3</f>
        <v>FY 24-25 Proposed</v>
      </c>
      <c r="D424" s="111">
        <f>SUM(D426:D433)</f>
        <v>5400</v>
      </c>
      <c r="E424" s="977">
        <f>SUM(D424-B424)/B424</f>
        <v>0</v>
      </c>
      <c r="G424" s="570" t="s">
        <v>506</v>
      </c>
      <c r="H424" s="50">
        <v>3800.59</v>
      </c>
      <c r="I424" s="652">
        <f>SUM(H424-H423)/H424</f>
        <v>-0.18832602306483992</v>
      </c>
    </row>
    <row r="425" spans="1:9" ht="13.5" thickTop="1">
      <c r="A425" s="414"/>
      <c r="B425" s="24"/>
      <c r="C425" s="24"/>
      <c r="D425" s="24"/>
      <c r="E425" s="66"/>
      <c r="G425" s="570" t="s">
        <v>507</v>
      </c>
      <c r="H425" s="50">
        <v>4039.44</v>
      </c>
      <c r="I425" s="652">
        <f t="shared" ref="I425:I427" si="26">SUM(H425-H424)/H425</f>
        <v>5.9129483294714097E-2</v>
      </c>
    </row>
    <row r="426" spans="1:9">
      <c r="A426" s="313" t="s">
        <v>410</v>
      </c>
      <c r="B426" s="43">
        <f>203.43+68.12+68.12+68.42+68.87+68.92+68.92+68.8+68.8</f>
        <v>752.39999999999986</v>
      </c>
      <c r="C426" s="44" t="s">
        <v>346</v>
      </c>
      <c r="D426" s="415">
        <f>12*75</f>
        <v>900</v>
      </c>
      <c r="E426" s="92" t="s">
        <v>571</v>
      </c>
      <c r="G426" s="570" t="s">
        <v>508</v>
      </c>
      <c r="H426" s="50">
        <v>4486.8</v>
      </c>
      <c r="I426" s="652">
        <f t="shared" si="26"/>
        <v>9.9705803690826447E-2</v>
      </c>
    </row>
    <row r="427" spans="1:9">
      <c r="A427" s="313" t="s">
        <v>116</v>
      </c>
      <c r="B427" s="43">
        <f>322.48+322.62+324.46+322.72+311.28+326.63+315.34+319.93+318.86+319.06+317.39</f>
        <v>3520.77</v>
      </c>
      <c r="C427" s="44" t="s">
        <v>116</v>
      </c>
      <c r="D427" s="415">
        <f>375*12</f>
        <v>4500</v>
      </c>
      <c r="E427" s="92" t="s">
        <v>522</v>
      </c>
      <c r="G427" s="45" t="s">
        <v>509</v>
      </c>
      <c r="H427" s="22">
        <v>4624.45</v>
      </c>
      <c r="I427" s="652">
        <f t="shared" si="26"/>
        <v>2.9765701867249E-2</v>
      </c>
    </row>
    <row r="428" spans="1:9">
      <c r="A428" s="414"/>
      <c r="B428" s="24"/>
      <c r="C428" s="24"/>
      <c r="D428" s="24"/>
      <c r="E428" s="66"/>
      <c r="G428" s="45" t="s">
        <v>587</v>
      </c>
      <c r="H428" s="22">
        <f>AVERAGE(H423:H427)</f>
        <v>4293.5240000000003</v>
      </c>
    </row>
    <row r="429" spans="1:9" ht="13.5" thickBot="1">
      <c r="A429" s="313" t="s">
        <v>218</v>
      </c>
      <c r="B429" s="101">
        <f>SUM(B426:B428)</f>
        <v>4273.17</v>
      </c>
      <c r="C429" s="442"/>
      <c r="D429" s="24"/>
      <c r="E429" s="66"/>
      <c r="G429" s="24"/>
      <c r="H429" s="22"/>
    </row>
    <row r="430" spans="1:9" ht="13.5" thickTop="1">
      <c r="A430" s="414"/>
      <c r="B430" s="24"/>
      <c r="C430" s="44"/>
      <c r="D430" s="24"/>
      <c r="E430" s="525"/>
      <c r="G430" s="570" t="s">
        <v>599</v>
      </c>
      <c r="H430" s="50">
        <f>+B429</f>
        <v>4273.17</v>
      </c>
      <c r="I430" s="655">
        <f>SUM(H430-H427)/H430</f>
        <v>-8.2205950149420629E-2</v>
      </c>
    </row>
    <row r="431" spans="1:9">
      <c r="A431" s="313" t="s">
        <v>412</v>
      </c>
      <c r="B431" s="43">
        <v>325</v>
      </c>
      <c r="C431" s="417"/>
      <c r="D431" s="24"/>
      <c r="E431" s="66"/>
    </row>
    <row r="432" spans="1:9">
      <c r="A432" s="313" t="s">
        <v>411</v>
      </c>
      <c r="B432" s="43">
        <v>68.8</v>
      </c>
      <c r="C432" s="526"/>
      <c r="D432" s="24"/>
      <c r="E432" s="66"/>
    </row>
    <row r="433" spans="1:9" ht="13.5" thickBot="1">
      <c r="A433" s="294" t="str">
        <f>+'YE Projections'!$F$3</f>
        <v>6/30/2024 Projection</v>
      </c>
      <c r="B433" s="101">
        <f>SUM(B429:B432)</f>
        <v>4666.97</v>
      </c>
      <c r="C433" s="410"/>
      <c r="D433" s="24"/>
      <c r="E433" s="66"/>
    </row>
    <row r="434" spans="1:9" ht="14.25" thickTop="1" thickBot="1">
      <c r="A434" s="467"/>
      <c r="B434" s="297"/>
      <c r="C434" s="979"/>
      <c r="D434" s="301"/>
      <c r="E434" s="299"/>
    </row>
    <row r="435" spans="1:9" ht="13.5" thickBot="1">
      <c r="A435" s="115"/>
      <c r="B435" s="43"/>
      <c r="C435" s="44"/>
      <c r="D435" s="2"/>
      <c r="E435" s="2"/>
    </row>
    <row r="436" spans="1:9">
      <c r="A436" s="1080" t="s">
        <v>52</v>
      </c>
      <c r="B436" s="1081"/>
      <c r="C436" s="1081"/>
      <c r="D436" s="1081"/>
      <c r="E436" s="1082"/>
      <c r="G436" s="45" t="s">
        <v>501</v>
      </c>
      <c r="H436" s="50" t="s">
        <v>52</v>
      </c>
    </row>
    <row r="437" spans="1:9">
      <c r="A437" s="414"/>
      <c r="B437" s="24"/>
      <c r="C437" s="24"/>
      <c r="D437" s="24"/>
      <c r="E437" s="380"/>
      <c r="G437" s="570" t="s">
        <v>505</v>
      </c>
      <c r="H437" s="50">
        <v>1360.28</v>
      </c>
      <c r="I437" s="17" t="s">
        <v>671</v>
      </c>
    </row>
    <row r="438" spans="1:9" ht="13.5" thickBot="1">
      <c r="A438" s="443" t="str">
        <f>+'YE Projections'!$G$3</f>
        <v>FY 23-24 Budget</v>
      </c>
      <c r="B438" s="101">
        <f>+'YE Projections'!G64</f>
        <v>4800</v>
      </c>
      <c r="C438" s="44" t="str">
        <f>+'YE Projections'!$I$3</f>
        <v>FY 24-25 Proposed</v>
      </c>
      <c r="D438" s="111">
        <f>SUM(D440:D444)</f>
        <v>4800</v>
      </c>
      <c r="E438" s="977">
        <f>SUM(D438-B438)/B438</f>
        <v>0</v>
      </c>
      <c r="G438" s="570" t="s">
        <v>506</v>
      </c>
      <c r="H438" s="50">
        <v>1675.47</v>
      </c>
      <c r="I438" s="652">
        <f>SUM(H438-H437)/H438</f>
        <v>0.18812034832017288</v>
      </c>
    </row>
    <row r="439" spans="1:9" ht="13.5" thickTop="1">
      <c r="A439" s="414"/>
      <c r="B439" s="24"/>
      <c r="C439" s="44"/>
      <c r="D439" s="24"/>
      <c r="E439" s="66"/>
      <c r="G439" s="570" t="s">
        <v>507</v>
      </c>
      <c r="H439" s="50">
        <v>2135.25</v>
      </c>
      <c r="I439" s="652">
        <f t="shared" ref="I439:I441" si="27">SUM(H439-H438)/H439</f>
        <v>0.21532841587636106</v>
      </c>
    </row>
    <row r="440" spans="1:9">
      <c r="A440" s="295" t="s">
        <v>108</v>
      </c>
      <c r="B440" s="43">
        <f>+'YE Projections'!C64</f>
        <v>3236.05</v>
      </c>
      <c r="C440" s="44" t="s">
        <v>108</v>
      </c>
      <c r="D440" s="415">
        <f>400*12</f>
        <v>4800</v>
      </c>
      <c r="E440" s="66" t="s">
        <v>570</v>
      </c>
      <c r="G440" s="570" t="s">
        <v>508</v>
      </c>
      <c r="H440" s="50">
        <v>2946.86</v>
      </c>
      <c r="I440" s="652">
        <f t="shared" si="27"/>
        <v>0.27541518769130535</v>
      </c>
    </row>
    <row r="441" spans="1:9" ht="13.5" thickBot="1">
      <c r="A441" s="313" t="s">
        <v>218</v>
      </c>
      <c r="B441" s="101">
        <f>+B440</f>
        <v>3236.05</v>
      </c>
      <c r="C441" s="442"/>
      <c r="D441" s="24"/>
      <c r="E441" s="66"/>
      <c r="G441" s="45" t="s">
        <v>509</v>
      </c>
      <c r="H441" s="22">
        <v>4592.79</v>
      </c>
      <c r="I441" s="652">
        <f t="shared" si="27"/>
        <v>0.35837257963024649</v>
      </c>
    </row>
    <row r="442" spans="1:9" ht="13.5" thickTop="1">
      <c r="A442" s="414"/>
      <c r="B442" s="24"/>
      <c r="C442" s="24"/>
      <c r="D442" s="24"/>
      <c r="E442" s="66"/>
      <c r="G442" s="45" t="s">
        <v>587</v>
      </c>
      <c r="H442" s="22">
        <f>AVERAGE(H437:H441)</f>
        <v>2542.13</v>
      </c>
    </row>
    <row r="443" spans="1:9">
      <c r="A443" s="313" t="s">
        <v>407</v>
      </c>
      <c r="B443" s="43">
        <f>+B438-B441</f>
        <v>1563.9499999999998</v>
      </c>
      <c r="C443" s="24"/>
      <c r="D443" s="24"/>
      <c r="E443" s="66"/>
      <c r="G443" s="24"/>
      <c r="H443" s="22"/>
    </row>
    <row r="444" spans="1:9" ht="13.5" thickBot="1">
      <c r="A444" s="294" t="str">
        <f>+'YE Projections'!$F$3</f>
        <v>6/30/2024 Projection</v>
      </c>
      <c r="B444" s="101">
        <f>+B441+B443</f>
        <v>4800</v>
      </c>
      <c r="C444" s="24"/>
      <c r="D444" s="24"/>
      <c r="E444" s="66"/>
      <c r="G444" s="570" t="s">
        <v>599</v>
      </c>
      <c r="H444" s="50">
        <f>+B441</f>
        <v>3236.05</v>
      </c>
      <c r="I444" s="655">
        <f>SUM(H444-H441)/H444</f>
        <v>-0.41925804607468975</v>
      </c>
    </row>
    <row r="445" spans="1:9" ht="14.25" thickTop="1" thickBot="1">
      <c r="A445" s="449"/>
      <c r="B445" s="301"/>
      <c r="C445" s="301"/>
      <c r="D445" s="301"/>
      <c r="E445" s="299"/>
    </row>
    <row r="446" spans="1:9" ht="13.5" thickBot="1">
      <c r="A446" s="28"/>
      <c r="C446" s="2"/>
      <c r="D446" s="2"/>
      <c r="E446" s="2"/>
    </row>
    <row r="447" spans="1:9">
      <c r="A447" s="1080" t="s">
        <v>53</v>
      </c>
      <c r="B447" s="1081"/>
      <c r="C447" s="1081"/>
      <c r="D447" s="1081"/>
      <c r="E447" s="1082"/>
      <c r="G447" s="45" t="s">
        <v>501</v>
      </c>
      <c r="H447" s="50" t="s">
        <v>53</v>
      </c>
    </row>
    <row r="448" spans="1:9">
      <c r="A448" s="482"/>
      <c r="B448" s="24"/>
      <c r="C448" s="44"/>
      <c r="D448" s="24"/>
      <c r="E448" s="380"/>
      <c r="G448" s="24" t="s">
        <v>505</v>
      </c>
      <c r="H448" s="50">
        <v>395.76</v>
      </c>
      <c r="I448" s="17" t="s">
        <v>671</v>
      </c>
    </row>
    <row r="449" spans="1:10" ht="13.5" thickBot="1">
      <c r="A449" s="443" t="str">
        <f>+'YE Projections'!$G$3</f>
        <v>FY 23-24 Budget</v>
      </c>
      <c r="B449" s="101">
        <f>+'YE Projections'!G65</f>
        <v>500</v>
      </c>
      <c r="C449" s="44" t="str">
        <f>+'YE Projections'!$I$3</f>
        <v>FY 24-25 Proposed</v>
      </c>
      <c r="D449" s="111">
        <f>SUM(D451:D455)</f>
        <v>500</v>
      </c>
      <c r="E449" s="977">
        <f>SUM(D449-B449)/B449</f>
        <v>0</v>
      </c>
      <c r="G449" s="24" t="s">
        <v>506</v>
      </c>
      <c r="H449" s="50">
        <v>293.33999999999997</v>
      </c>
      <c r="I449" s="652">
        <f>SUM(H449-H448)/H449</f>
        <v>-0.34915115565555338</v>
      </c>
      <c r="J449" s="17" t="s">
        <v>504</v>
      </c>
    </row>
    <row r="450" spans="1:10" ht="13.5" thickTop="1">
      <c r="A450" s="414"/>
      <c r="B450" s="24"/>
      <c r="C450" s="24"/>
      <c r="D450" s="24"/>
      <c r="E450" s="66"/>
      <c r="G450" s="24" t="s">
        <v>507</v>
      </c>
      <c r="H450" s="50">
        <v>378.12</v>
      </c>
      <c r="I450" s="652">
        <f t="shared" ref="I450:I452" si="28">SUM(H450-H449)/H450</f>
        <v>0.22421453506823238</v>
      </c>
    </row>
    <row r="451" spans="1:10">
      <c r="A451" s="295" t="s">
        <v>984</v>
      </c>
      <c r="B451" s="43">
        <f>69.43+30.13+19.65+16.38+23.58</f>
        <v>159.17000000000002</v>
      </c>
      <c r="C451" s="44" t="s">
        <v>212</v>
      </c>
      <c r="D451" s="43">
        <v>500</v>
      </c>
      <c r="E451" s="66"/>
      <c r="G451" s="24" t="s">
        <v>508</v>
      </c>
      <c r="H451" s="50">
        <v>314.3</v>
      </c>
      <c r="I451" s="652">
        <f t="shared" si="28"/>
        <v>-0.20305440661788099</v>
      </c>
    </row>
    <row r="452" spans="1:10" ht="13.5" thickBot="1">
      <c r="A452" s="313" t="s">
        <v>218</v>
      </c>
      <c r="B452" s="101">
        <f>+B451</f>
        <v>159.17000000000002</v>
      </c>
      <c r="C452" s="44"/>
      <c r="D452" s="24"/>
      <c r="E452" s="66"/>
      <c r="G452" s="45" t="s">
        <v>509</v>
      </c>
      <c r="H452" s="22">
        <v>87.45</v>
      </c>
      <c r="I452" s="652">
        <f t="shared" si="28"/>
        <v>-2.5940537449971415</v>
      </c>
    </row>
    <row r="453" spans="1:10" ht="13.5" thickTop="1">
      <c r="A453" s="414"/>
      <c r="B453" s="24"/>
      <c r="C453" s="442"/>
      <c r="D453" s="24"/>
      <c r="E453" s="66"/>
      <c r="G453" s="45" t="s">
        <v>587</v>
      </c>
      <c r="H453" s="22">
        <f>AVERAGE(H448:H452)</f>
        <v>293.79399999999998</v>
      </c>
    </row>
    <row r="454" spans="1:10">
      <c r="A454" s="313" t="s">
        <v>407</v>
      </c>
      <c r="B454" s="43">
        <v>60</v>
      </c>
      <c r="C454" s="44"/>
      <c r="D454" s="24"/>
      <c r="E454" s="66"/>
      <c r="G454" s="24"/>
      <c r="H454" s="22"/>
    </row>
    <row r="455" spans="1:10" ht="13.5" thickBot="1">
      <c r="A455" s="294" t="str">
        <f>+'YE Projections'!$F$3</f>
        <v>6/30/2024 Projection</v>
      </c>
      <c r="B455" s="101">
        <f>+B451+B454</f>
        <v>219.17000000000002</v>
      </c>
      <c r="C455" s="24"/>
      <c r="D455" s="24"/>
      <c r="E455" s="66"/>
      <c r="G455" s="570" t="s">
        <v>599</v>
      </c>
      <c r="H455" s="50">
        <f>+B452</f>
        <v>159.17000000000002</v>
      </c>
      <c r="I455" s="655">
        <f>SUM(H455-H452)/H455</f>
        <v>0.45058742225293713</v>
      </c>
    </row>
    <row r="456" spans="1:10" ht="14.25" thickTop="1" thickBot="1">
      <c r="A456" s="449"/>
      <c r="B456" s="301"/>
      <c r="C456" s="298"/>
      <c r="D456" s="301"/>
      <c r="E456" s="299"/>
      <c r="G456" s="24"/>
    </row>
    <row r="457" spans="1:10" ht="13.5" thickBot="1">
      <c r="A457" s="28"/>
      <c r="B457" s="24"/>
      <c r="C457" s="44"/>
      <c r="D457" s="24"/>
      <c r="E457" s="24"/>
      <c r="G457" s="24"/>
    </row>
    <row r="458" spans="1:10">
      <c r="A458" s="1080" t="s">
        <v>239</v>
      </c>
      <c r="B458" s="1081"/>
      <c r="C458" s="1081"/>
      <c r="D458" s="1081"/>
      <c r="E458" s="1082"/>
      <c r="G458" s="45" t="s">
        <v>501</v>
      </c>
      <c r="H458" s="50" t="s">
        <v>239</v>
      </c>
      <c r="I458" s="570"/>
    </row>
    <row r="459" spans="1:10">
      <c r="A459" s="312"/>
      <c r="B459" s="45"/>
      <c r="C459" s="45"/>
      <c r="D459" s="45"/>
      <c r="E459" s="380"/>
      <c r="G459" s="24" t="s">
        <v>505</v>
      </c>
      <c r="H459" s="50">
        <v>791</v>
      </c>
      <c r="I459" s="17" t="s">
        <v>671</v>
      </c>
    </row>
    <row r="460" spans="1:10" ht="13.5" thickBot="1">
      <c r="A460" s="443" t="str">
        <f>+'YE Projections'!$G$3</f>
        <v>FY 23-24 Budget</v>
      </c>
      <c r="B460" s="111">
        <f>+'YE Projections'!G66</f>
        <v>1000</v>
      </c>
      <c r="C460" s="44" t="str">
        <f>+'YE Projections'!$I$3</f>
        <v>FY 24-25 Proposed</v>
      </c>
      <c r="D460" s="111">
        <f>SUM(D462:D468)</f>
        <v>1000</v>
      </c>
      <c r="E460" s="977">
        <f>SUM(D460-B460)/B460</f>
        <v>0</v>
      </c>
      <c r="G460" s="24" t="s">
        <v>506</v>
      </c>
      <c r="H460" s="50">
        <v>516</v>
      </c>
      <c r="I460" s="652">
        <f>SUM(H460-H459)/H460</f>
        <v>-0.53294573643410847</v>
      </c>
      <c r="J460" s="17" t="s">
        <v>504</v>
      </c>
    </row>
    <row r="461" spans="1:10" ht="13.5" thickTop="1">
      <c r="A461" s="414"/>
      <c r="B461" s="24"/>
      <c r="C461" s="24"/>
      <c r="D461" s="24"/>
      <c r="E461" s="66"/>
      <c r="G461" s="24" t="s">
        <v>507</v>
      </c>
      <c r="H461" s="50">
        <v>730</v>
      </c>
      <c r="I461" s="652">
        <f t="shared" ref="I461:I463" si="29">SUM(H461-H460)/H461</f>
        <v>0.29315068493150687</v>
      </c>
    </row>
    <row r="462" spans="1:10">
      <c r="A462" s="313" t="s">
        <v>602</v>
      </c>
      <c r="B462" s="43">
        <v>300</v>
      </c>
      <c r="C462" s="44" t="s">
        <v>100</v>
      </c>
      <c r="D462" s="415">
        <f>75*4</f>
        <v>300</v>
      </c>
      <c r="E462" s="92" t="s">
        <v>101</v>
      </c>
      <c r="G462" s="24" t="s">
        <v>508</v>
      </c>
      <c r="H462" s="50">
        <v>910</v>
      </c>
      <c r="I462" s="652">
        <f t="shared" si="29"/>
        <v>0.19780219780219779</v>
      </c>
    </row>
    <row r="463" spans="1:10">
      <c r="A463" s="313" t="s">
        <v>413</v>
      </c>
      <c r="B463" s="43"/>
      <c r="C463" s="44" t="s">
        <v>100</v>
      </c>
      <c r="D463" s="415">
        <v>360</v>
      </c>
      <c r="E463" s="92" t="s">
        <v>102</v>
      </c>
      <c r="G463" s="45" t="s">
        <v>509</v>
      </c>
      <c r="H463" s="22">
        <v>1073</v>
      </c>
      <c r="I463" s="652">
        <f t="shared" si="29"/>
        <v>0.15191053122087605</v>
      </c>
    </row>
    <row r="464" spans="1:10">
      <c r="A464" s="313" t="s">
        <v>351</v>
      </c>
      <c r="B464" s="109"/>
      <c r="C464" s="44" t="s">
        <v>100</v>
      </c>
      <c r="D464" s="415">
        <f>6*50</f>
        <v>300</v>
      </c>
      <c r="E464" s="92" t="s">
        <v>379</v>
      </c>
      <c r="G464" s="45" t="s">
        <v>587</v>
      </c>
      <c r="H464" s="22">
        <f>AVERAGE(H459:H463)</f>
        <v>804</v>
      </c>
    </row>
    <row r="465" spans="1:10" ht="13.5" thickBot="1">
      <c r="A465" s="313" t="s">
        <v>218</v>
      </c>
      <c r="B465" s="101">
        <f>SUM(B462:B464)</f>
        <v>300</v>
      </c>
      <c r="C465" s="44" t="s">
        <v>100</v>
      </c>
      <c r="D465" s="415">
        <v>40</v>
      </c>
      <c r="E465" s="92" t="s">
        <v>523</v>
      </c>
      <c r="G465" s="24"/>
      <c r="H465" s="22"/>
      <c r="I465" s="570"/>
    </row>
    <row r="466" spans="1:10" ht="13.5" thickTop="1">
      <c r="A466" s="414"/>
      <c r="B466" s="24"/>
      <c r="C466" s="44"/>
      <c r="D466" s="415"/>
      <c r="E466" s="92"/>
      <c r="G466" s="570" t="s">
        <v>599</v>
      </c>
      <c r="H466" s="50">
        <f>+B465</f>
        <v>300</v>
      </c>
      <c r="I466" s="655">
        <f>SUM(H466-H463)/H466</f>
        <v>-2.5766666666666667</v>
      </c>
    </row>
    <row r="467" spans="1:10">
      <c r="A467" s="313" t="s">
        <v>407</v>
      </c>
      <c r="B467" s="109">
        <v>360</v>
      </c>
      <c r="C467" s="44"/>
      <c r="D467" s="43"/>
      <c r="E467" s="66"/>
      <c r="G467" s="24"/>
    </row>
    <row r="468" spans="1:10" ht="13.5" thickBot="1">
      <c r="A468" s="294" t="str">
        <f>+'YE Projections'!$F$3</f>
        <v>6/30/2024 Projection</v>
      </c>
      <c r="B468" s="111">
        <f>SUM(B465:B467)</f>
        <v>660</v>
      </c>
      <c r="C468" s="44"/>
      <c r="D468" s="24"/>
      <c r="E468" s="66"/>
      <c r="G468" s="24"/>
    </row>
    <row r="469" spans="1:10" ht="14.25" thickTop="1" thickBot="1">
      <c r="A469" s="462"/>
      <c r="B469" s="307"/>
      <c r="C469" s="298"/>
      <c r="D469" s="301"/>
      <c r="E469" s="299"/>
      <c r="G469" s="24"/>
    </row>
    <row r="470" spans="1:10" ht="13.5" thickBot="1">
      <c r="A470" s="115"/>
      <c r="B470" s="32"/>
      <c r="C470" s="44"/>
      <c r="D470" s="24"/>
      <c r="E470" s="24"/>
      <c r="G470" s="24"/>
    </row>
    <row r="471" spans="1:10">
      <c r="A471" s="1080" t="s">
        <v>55</v>
      </c>
      <c r="B471" s="1081"/>
      <c r="C471" s="1081"/>
      <c r="D471" s="1081"/>
      <c r="E471" s="1082"/>
      <c r="G471" s="45" t="s">
        <v>501</v>
      </c>
      <c r="H471" s="50" t="s">
        <v>55</v>
      </c>
    </row>
    <row r="472" spans="1:10">
      <c r="A472" s="312"/>
      <c r="B472" s="45"/>
      <c r="C472" s="45"/>
      <c r="D472" s="45"/>
      <c r="E472" s="380"/>
      <c r="G472" s="24" t="s">
        <v>505</v>
      </c>
      <c r="H472" s="50">
        <v>96.35</v>
      </c>
      <c r="I472" s="17" t="s">
        <v>671</v>
      </c>
    </row>
    <row r="473" spans="1:10" ht="13.5" thickBot="1">
      <c r="A473" s="443" t="str">
        <f>+'YE Projections'!$G$3</f>
        <v>FY 23-24 Budget</v>
      </c>
      <c r="B473" s="111">
        <f>+'YE Projections'!G67</f>
        <v>3400</v>
      </c>
      <c r="C473" s="44" t="str">
        <f>+'YE Projections'!$I$3</f>
        <v>FY 24-25 Proposed</v>
      </c>
      <c r="D473" s="111">
        <f>SUM(D475:D481)</f>
        <v>1600</v>
      </c>
      <c r="E473" s="977">
        <f>SUM(D473-B473)/B473</f>
        <v>-0.52941176470588236</v>
      </c>
      <c r="G473" s="24" t="s">
        <v>506</v>
      </c>
      <c r="H473" s="50">
        <v>992.52</v>
      </c>
      <c r="I473" s="652">
        <f>SUM(H473-H472)/H473</f>
        <v>0.90292387055172685</v>
      </c>
      <c r="J473" s="2" t="s">
        <v>684</v>
      </c>
    </row>
    <row r="474" spans="1:10" ht="13.5" thickTop="1">
      <c r="A474" s="414"/>
      <c r="B474" s="24"/>
      <c r="C474" s="44"/>
      <c r="D474" s="24"/>
      <c r="E474" s="66"/>
      <c r="G474" s="24" t="s">
        <v>507</v>
      </c>
      <c r="H474" s="50">
        <v>3145.12</v>
      </c>
      <c r="I474" s="652">
        <f t="shared" ref="I474:I476" si="30">SUM(H474-H473)/H474</f>
        <v>0.68442539553339776</v>
      </c>
      <c r="J474" s="2" t="s">
        <v>684</v>
      </c>
    </row>
    <row r="475" spans="1:10">
      <c r="A475" s="313" t="s">
        <v>353</v>
      </c>
      <c r="B475" s="43">
        <f>52.44+9.99</f>
        <v>62.43</v>
      </c>
      <c r="C475" s="44"/>
      <c r="D475" s="415">
        <v>300</v>
      </c>
      <c r="E475" s="418" t="s">
        <v>524</v>
      </c>
      <c r="G475" s="24" t="s">
        <v>508</v>
      </c>
      <c r="H475" s="50">
        <v>1472.2</v>
      </c>
      <c r="I475" s="652">
        <f t="shared" si="30"/>
        <v>-1.1363401711723948</v>
      </c>
    </row>
    <row r="476" spans="1:10">
      <c r="A476" s="313" t="s">
        <v>352</v>
      </c>
      <c r="B476" s="43">
        <f>171.31+36.99</f>
        <v>208.3</v>
      </c>
      <c r="C476" s="44"/>
      <c r="D476" s="415">
        <f>30*4</f>
        <v>120</v>
      </c>
      <c r="E476" s="418" t="s">
        <v>354</v>
      </c>
      <c r="G476" s="45" t="s">
        <v>509</v>
      </c>
      <c r="H476" s="22">
        <v>372.82</v>
      </c>
      <c r="I476" s="652">
        <f t="shared" si="30"/>
        <v>-2.9488224880639455</v>
      </c>
    </row>
    <row r="477" spans="1:10" ht="13.5" thickBot="1">
      <c r="A477" s="313" t="s">
        <v>218</v>
      </c>
      <c r="B477" s="101">
        <f>SUM(B475:B476)</f>
        <v>270.73</v>
      </c>
      <c r="C477" s="442"/>
      <c r="D477" s="415">
        <f>35*12</f>
        <v>420</v>
      </c>
      <c r="E477" s="418" t="s">
        <v>985</v>
      </c>
      <c r="G477" s="45" t="s">
        <v>587</v>
      </c>
      <c r="H477" s="22">
        <f>AVERAGE(H472:H476)</f>
        <v>1215.8019999999999</v>
      </c>
      <c r="I477" s="321"/>
    </row>
    <row r="478" spans="1:10" ht="13.5" thickTop="1">
      <c r="A478" s="414"/>
      <c r="B478" s="24"/>
      <c r="C478" s="24"/>
      <c r="D478" s="415">
        <v>300</v>
      </c>
      <c r="E478" s="418" t="s">
        <v>986</v>
      </c>
      <c r="G478" s="24"/>
      <c r="H478" s="22"/>
      <c r="I478" s="321"/>
    </row>
    <row r="479" spans="1:10">
      <c r="A479" s="313" t="s">
        <v>407</v>
      </c>
      <c r="B479" s="43">
        <v>276.25</v>
      </c>
      <c r="C479" s="24"/>
      <c r="D479" s="415">
        <f>20*12</f>
        <v>240</v>
      </c>
      <c r="E479" s="418" t="s">
        <v>987</v>
      </c>
      <c r="G479" s="570" t="s">
        <v>599</v>
      </c>
      <c r="H479" s="50">
        <f>+B477</f>
        <v>270.73</v>
      </c>
      <c r="I479" s="321"/>
    </row>
    <row r="480" spans="1:10" ht="13.5" thickBot="1">
      <c r="A480" s="294" t="str">
        <f>+'YE Projections'!$F$3</f>
        <v>6/30/2024 Projection</v>
      </c>
      <c r="B480" s="111">
        <f>+B477+B479</f>
        <v>546.98</v>
      </c>
      <c r="C480" s="24"/>
      <c r="D480" s="415">
        <v>220</v>
      </c>
      <c r="E480" s="419" t="s">
        <v>355</v>
      </c>
      <c r="G480" s="1"/>
      <c r="H480" s="352"/>
      <c r="I480" s="321"/>
    </row>
    <row r="481" spans="1:10" ht="14.25" thickTop="1" thickBot="1">
      <c r="A481" s="449"/>
      <c r="B481" s="301"/>
      <c r="C481" s="301"/>
      <c r="D481" s="301"/>
      <c r="E481" s="299"/>
      <c r="G481" s="1"/>
      <c r="H481" s="352"/>
      <c r="I481" s="321"/>
    </row>
    <row r="482" spans="1:10" ht="13.5" thickBot="1">
      <c r="A482" s="28"/>
      <c r="C482" s="2"/>
      <c r="D482" s="2"/>
      <c r="E482" s="2"/>
      <c r="G482" s="1"/>
      <c r="H482" s="352"/>
      <c r="I482" s="321"/>
    </row>
    <row r="483" spans="1:10">
      <c r="A483" s="1080" t="s">
        <v>56</v>
      </c>
      <c r="B483" s="1081"/>
      <c r="C483" s="1081"/>
      <c r="D483" s="1081"/>
      <c r="E483" s="1082"/>
      <c r="G483" s="45" t="s">
        <v>501</v>
      </c>
      <c r="H483" s="50" t="s">
        <v>56</v>
      </c>
    </row>
    <row r="484" spans="1:10">
      <c r="A484" s="414"/>
      <c r="B484" s="24"/>
      <c r="C484" s="24"/>
      <c r="D484" s="24"/>
      <c r="E484" s="380"/>
      <c r="G484" s="24" t="s">
        <v>505</v>
      </c>
      <c r="H484" s="50">
        <v>711.35</v>
      </c>
      <c r="I484" s="17" t="s">
        <v>671</v>
      </c>
    </row>
    <row r="485" spans="1:10" ht="13.5" thickBot="1">
      <c r="A485" s="443" t="str">
        <f>+'YE Projections'!$G$3</f>
        <v>FY 23-24 Budget</v>
      </c>
      <c r="B485" s="111">
        <f>+'YE Projections'!G68</f>
        <v>500</v>
      </c>
      <c r="C485" s="44" t="str">
        <f>+'YE Projections'!$I$3</f>
        <v>FY 24-25 Proposed</v>
      </c>
      <c r="D485" s="111">
        <f>SUM(D487:D496)</f>
        <v>515</v>
      </c>
      <c r="E485" s="977">
        <f>SUM(D485-B485)/B485</f>
        <v>0.03</v>
      </c>
      <c r="G485" s="24" t="s">
        <v>506</v>
      </c>
      <c r="H485" s="50">
        <v>547.27</v>
      </c>
      <c r="I485" s="652">
        <f>SUM(H485-H484)/H485</f>
        <v>-0.29981544758528705</v>
      </c>
      <c r="J485" s="17" t="s">
        <v>504</v>
      </c>
    </row>
    <row r="486" spans="1:10" ht="13.5" thickTop="1">
      <c r="A486" s="414"/>
      <c r="B486" s="24"/>
      <c r="C486" s="24"/>
      <c r="D486" s="24"/>
      <c r="E486" s="66"/>
      <c r="G486" s="24" t="s">
        <v>507</v>
      </c>
      <c r="H486" s="50">
        <v>501.61</v>
      </c>
      <c r="I486" s="652">
        <f t="shared" ref="I486:I488" si="31">SUM(H486-H485)/H486</f>
        <v>-9.1026893403241493E-2</v>
      </c>
      <c r="J486" s="17" t="s">
        <v>504</v>
      </c>
    </row>
    <row r="487" spans="1:10">
      <c r="A487" s="313" t="s">
        <v>356</v>
      </c>
      <c r="B487" s="43">
        <f>0.2+0.15+0.35+2.15+0.15</f>
        <v>2.9999999999999996</v>
      </c>
      <c r="C487" s="44"/>
      <c r="D487" s="415">
        <v>5</v>
      </c>
      <c r="E487" s="92" t="s">
        <v>358</v>
      </c>
      <c r="G487" s="24" t="s">
        <v>508</v>
      </c>
      <c r="H487" s="50">
        <v>481.15</v>
      </c>
      <c r="I487" s="652">
        <f t="shared" si="31"/>
        <v>-4.2523121687623483E-2</v>
      </c>
    </row>
    <row r="488" spans="1:10">
      <c r="A488" s="470" t="s">
        <v>357</v>
      </c>
      <c r="B488" s="314">
        <f>35+35+35+35+35+35+35+36+42.5</f>
        <v>323.5</v>
      </c>
      <c r="C488" s="44"/>
      <c r="D488" s="415">
        <f>42.5*12</f>
        <v>510</v>
      </c>
      <c r="E488" s="92" t="s">
        <v>996</v>
      </c>
      <c r="G488" s="45" t="s">
        <v>509</v>
      </c>
      <c r="H488" s="22">
        <v>388.3</v>
      </c>
      <c r="I488" s="652">
        <f t="shared" si="31"/>
        <v>-0.23911923770280702</v>
      </c>
    </row>
    <row r="489" spans="1:10" ht="13.5" thickBot="1">
      <c r="A489" s="443" t="s">
        <v>218</v>
      </c>
      <c r="B489" s="111">
        <f>SUM(B487:B488)</f>
        <v>326.5</v>
      </c>
      <c r="C489" s="44"/>
      <c r="D489" s="415">
        <v>0</v>
      </c>
      <c r="E489" s="92" t="s">
        <v>139</v>
      </c>
      <c r="G489" s="45" t="s">
        <v>587</v>
      </c>
      <c r="H489" s="22">
        <f>AVERAGE(H484:H488)</f>
        <v>525.93600000000004</v>
      </c>
    </row>
    <row r="490" spans="1:10" ht="13.5" thickTop="1">
      <c r="A490" s="414"/>
      <c r="B490" s="24"/>
      <c r="C490" s="44"/>
      <c r="D490" s="415"/>
      <c r="E490" s="92"/>
      <c r="G490" s="24"/>
      <c r="H490" s="22"/>
    </row>
    <row r="491" spans="1:10">
      <c r="A491" s="313" t="s">
        <v>356</v>
      </c>
      <c r="B491" s="43">
        <f>0.1*'YE Projections'!A3</f>
        <v>0.2</v>
      </c>
      <c r="C491" s="24"/>
      <c r="D491" s="24"/>
      <c r="E491" s="66"/>
      <c r="G491" s="570" t="s">
        <v>599</v>
      </c>
      <c r="H491" s="50">
        <f>+B489</f>
        <v>326.5</v>
      </c>
      <c r="I491" s="655">
        <f>SUM(H491-H488)/H491</f>
        <v>-0.18928024502297094</v>
      </c>
    </row>
    <row r="492" spans="1:10">
      <c r="A492" s="313" t="s">
        <v>357</v>
      </c>
      <c r="B492" s="43">
        <f>35*'YE Projections'!A3</f>
        <v>70</v>
      </c>
      <c r="C492" s="24" t="s">
        <v>679</v>
      </c>
      <c r="D492" s="24"/>
      <c r="E492" s="66"/>
    </row>
    <row r="493" spans="1:10" ht="13.5" thickBot="1">
      <c r="A493" s="294" t="str">
        <f>+'YE Projections'!$F$3</f>
        <v>6/30/2024 Projection</v>
      </c>
      <c r="B493" s="111">
        <f>+B489+B491+B492</f>
        <v>396.7</v>
      </c>
      <c r="C493" s="24"/>
      <c r="D493" s="24"/>
      <c r="E493" s="66"/>
    </row>
    <row r="494" spans="1:10" ht="14.25" thickTop="1" thickBot="1">
      <c r="A494" s="449"/>
      <c r="B494" s="301"/>
      <c r="C494" s="298"/>
      <c r="D494" s="297"/>
      <c r="E494" s="299"/>
    </row>
    <row r="495" spans="1:10" ht="13.5" thickBot="1">
      <c r="A495" s="28"/>
      <c r="C495" s="24"/>
      <c r="D495" s="2"/>
      <c r="E495" s="2"/>
    </row>
    <row r="496" spans="1:10">
      <c r="A496" s="1080" t="s">
        <v>57</v>
      </c>
      <c r="B496" s="1083"/>
      <c r="C496" s="1083"/>
      <c r="D496" s="1083"/>
      <c r="E496" s="1084"/>
      <c r="G496" s="45" t="s">
        <v>501</v>
      </c>
      <c r="H496" s="50" t="s">
        <v>57</v>
      </c>
    </row>
    <row r="497" spans="1:12">
      <c r="A497" s="414"/>
      <c r="B497" s="24"/>
      <c r="C497" s="24"/>
      <c r="D497" s="24"/>
      <c r="E497" s="380"/>
      <c r="G497" s="24" t="s">
        <v>505</v>
      </c>
      <c r="H497" s="50">
        <v>1745.04</v>
      </c>
      <c r="I497" s="17" t="s">
        <v>671</v>
      </c>
    </row>
    <row r="498" spans="1:12" ht="13.5" thickBot="1">
      <c r="A498" s="443" t="str">
        <f>+'YE Projections'!$G$3</f>
        <v>FY 23-24 Budget</v>
      </c>
      <c r="B498" s="101">
        <f>+'YE Projections'!G69</f>
        <v>2600</v>
      </c>
      <c r="C498" s="44" t="str">
        <f>+'YE Projections'!$I$3</f>
        <v>FY 24-25 Proposed</v>
      </c>
      <c r="D498" s="111">
        <f>SUM(D499:D508)</f>
        <v>2600</v>
      </c>
      <c r="E498" s="977">
        <f>SUM(D498-B498)/B498</f>
        <v>0</v>
      </c>
      <c r="G498" s="24" t="s">
        <v>506</v>
      </c>
      <c r="H498" s="50">
        <v>1064.24</v>
      </c>
      <c r="I498" s="652">
        <f>SUM(H498-H497)/H498</f>
        <v>-0.63970532962489657</v>
      </c>
      <c r="J498" s="17" t="s">
        <v>504</v>
      </c>
    </row>
    <row r="499" spans="1:12" ht="13.5" thickTop="1">
      <c r="A499" s="414"/>
      <c r="B499" s="24"/>
      <c r="C499" s="24"/>
      <c r="D499" s="24"/>
      <c r="E499" s="66"/>
      <c r="G499" s="24" t="s">
        <v>507</v>
      </c>
      <c r="H499" s="50">
        <v>2727.29</v>
      </c>
      <c r="I499" s="652">
        <f t="shared" ref="I499:I501" si="32">SUM(H499-H498)/H499</f>
        <v>0.60978113805279233</v>
      </c>
    </row>
    <row r="500" spans="1:12">
      <c r="A500" s="313" t="s">
        <v>359</v>
      </c>
      <c r="B500" s="43">
        <v>727.58</v>
      </c>
      <c r="C500" s="44" t="s">
        <v>121</v>
      </c>
      <c r="D500" s="415">
        <v>800</v>
      </c>
      <c r="E500" s="320" t="s">
        <v>525</v>
      </c>
      <c r="G500" s="24" t="s">
        <v>508</v>
      </c>
      <c r="H500" s="50">
        <v>2326.9899999999998</v>
      </c>
      <c r="I500" s="652">
        <f t="shared" si="32"/>
        <v>-0.1720248045758685</v>
      </c>
    </row>
    <row r="501" spans="1:12">
      <c r="A501" s="313" t="s">
        <v>360</v>
      </c>
      <c r="B501" s="43">
        <v>554.27</v>
      </c>
      <c r="C501" s="44" t="s">
        <v>168</v>
      </c>
      <c r="D501" s="415">
        <v>1250</v>
      </c>
      <c r="E501" s="320" t="s">
        <v>240</v>
      </c>
      <c r="G501" s="45" t="s">
        <v>509</v>
      </c>
      <c r="H501" s="22">
        <v>2551.3200000000002</v>
      </c>
      <c r="I501" s="652">
        <f t="shared" si="32"/>
        <v>8.7927033849144895E-2</v>
      </c>
    </row>
    <row r="502" spans="1:12">
      <c r="A502" s="313" t="s">
        <v>452</v>
      </c>
      <c r="B502" s="43">
        <f>300+22.23+100+100+100+246.75+100</f>
        <v>968.98</v>
      </c>
      <c r="C502" s="44" t="s">
        <v>170</v>
      </c>
      <c r="D502" s="415">
        <v>550</v>
      </c>
      <c r="E502" s="320" t="s">
        <v>241</v>
      </c>
      <c r="G502" s="45" t="s">
        <v>587</v>
      </c>
      <c r="H502" s="22">
        <f>AVERAGE(H497:H501)</f>
        <v>2082.9759999999997</v>
      </c>
    </row>
    <row r="503" spans="1:12">
      <c r="A503" s="313" t="s">
        <v>620</v>
      </c>
      <c r="B503" s="43">
        <f>17.99</f>
        <v>17.989999999999998</v>
      </c>
      <c r="C503" s="442"/>
      <c r="D503" s="43"/>
      <c r="E503" s="66"/>
      <c r="G503" s="24"/>
      <c r="H503" s="22"/>
    </row>
    <row r="504" spans="1:12" ht="13.5" thickBot="1">
      <c r="A504" s="313" t="s">
        <v>218</v>
      </c>
      <c r="B504" s="101">
        <f>SUM(B500:B503)</f>
        <v>2268.8199999999997</v>
      </c>
      <c r="C504" s="24"/>
      <c r="D504" s="24"/>
      <c r="E504" s="66"/>
      <c r="G504" s="570" t="s">
        <v>599</v>
      </c>
      <c r="H504" s="50">
        <f>+B504</f>
        <v>2268.8199999999997</v>
      </c>
      <c r="I504" s="654">
        <f>SUM(H504-H501)/H504</f>
        <v>-0.12451406457982585</v>
      </c>
    </row>
    <row r="505" spans="1:12" ht="13.5" thickTop="1">
      <c r="A505" s="414"/>
      <c r="B505" s="24"/>
      <c r="C505" s="24"/>
      <c r="D505" s="24"/>
      <c r="E505" s="66"/>
      <c r="G505" s="570"/>
      <c r="H505" s="50"/>
    </row>
    <row r="506" spans="1:12">
      <c r="A506" s="313" t="s">
        <v>511</v>
      </c>
      <c r="B506" s="43">
        <f>+B498-H504</f>
        <v>331.18000000000029</v>
      </c>
      <c r="C506" s="44"/>
      <c r="D506" s="24"/>
      <c r="E506" s="66"/>
    </row>
    <row r="507" spans="1:12" ht="13.5" thickBot="1">
      <c r="A507" s="294" t="str">
        <f>+'YE Projections'!$F$3</f>
        <v>6/30/2024 Projection</v>
      </c>
      <c r="B507" s="101">
        <f>+B504+B506</f>
        <v>2600</v>
      </c>
      <c r="C507" s="44"/>
      <c r="D507" s="24"/>
      <c r="E507" s="66"/>
    </row>
    <row r="508" spans="1:12" ht="14.25" thickTop="1" thickBot="1">
      <c r="A508" s="462"/>
      <c r="B508" s="297"/>
      <c r="C508" s="298"/>
      <c r="D508" s="301"/>
      <c r="E508" s="299"/>
    </row>
    <row r="509" spans="1:12" ht="13.5" thickBot="1">
      <c r="A509" s="28"/>
      <c r="C509" s="44"/>
      <c r="D509" s="2"/>
      <c r="E509" s="2"/>
    </row>
    <row r="510" spans="1:12">
      <c r="A510" s="1080" t="s">
        <v>58</v>
      </c>
      <c r="B510" s="1083"/>
      <c r="C510" s="1083"/>
      <c r="D510" s="1083"/>
      <c r="E510" s="1084"/>
      <c r="G510" s="45" t="s">
        <v>501</v>
      </c>
      <c r="H510" s="50" t="s">
        <v>58</v>
      </c>
      <c r="K510" s="2" t="s">
        <v>979</v>
      </c>
    </row>
    <row r="511" spans="1:12">
      <c r="A511" s="312"/>
      <c r="B511" s="65"/>
      <c r="C511" s="65"/>
      <c r="D511" s="65"/>
      <c r="E511" s="380"/>
      <c r="G511" s="24" t="s">
        <v>505</v>
      </c>
      <c r="H511" s="50">
        <v>161.69999999999999</v>
      </c>
      <c r="I511" s="17" t="s">
        <v>671</v>
      </c>
      <c r="L511" s="5">
        <f>90*12</f>
        <v>1080</v>
      </c>
    </row>
    <row r="512" spans="1:12" ht="13.5" thickBot="1">
      <c r="A512" s="443" t="str">
        <f>+'YE Projections'!$G$3</f>
        <v>FY 23-24 Budget</v>
      </c>
      <c r="B512" s="101">
        <f>+'YE Projections'!G70</f>
        <v>1500</v>
      </c>
      <c r="C512" s="44" t="str">
        <f>+'YE Projections'!$I$3</f>
        <v>FY 24-25 Proposed</v>
      </c>
      <c r="D512" s="111">
        <f>SUM(D514:D518)</f>
        <v>2950</v>
      </c>
      <c r="E512" s="977">
        <f>SUM(D512-B512)/B512</f>
        <v>0.96666666666666667</v>
      </c>
      <c r="G512" s="24" t="s">
        <v>506</v>
      </c>
      <c r="H512" s="50">
        <v>500</v>
      </c>
      <c r="I512" s="652">
        <f>SUM(H512-H511)/H512</f>
        <v>0.67659999999999998</v>
      </c>
      <c r="K512" s="25" t="s">
        <v>980</v>
      </c>
      <c r="L512" s="5">
        <v>697</v>
      </c>
    </row>
    <row r="513" spans="1:10" ht="13.5" thickTop="1">
      <c r="A513" s="414"/>
      <c r="B513" s="24"/>
      <c r="C513" s="24"/>
      <c r="D513" s="24"/>
      <c r="E513" s="381"/>
      <c r="G513" s="24" t="s">
        <v>507</v>
      </c>
      <c r="H513" s="50">
        <v>500.99</v>
      </c>
      <c r="I513" s="652">
        <f t="shared" ref="I513:I515" si="33">SUM(H513-H512)/H513</f>
        <v>1.9760873470528535E-3</v>
      </c>
      <c r="J513" s="17" t="s">
        <v>504</v>
      </c>
    </row>
    <row r="514" spans="1:10">
      <c r="A514" s="313" t="s">
        <v>1040</v>
      </c>
      <c r="B514" s="22">
        <v>635.29999999999995</v>
      </c>
      <c r="C514" s="115"/>
      <c r="D514" s="22">
        <v>450</v>
      </c>
      <c r="E514" s="528" t="s">
        <v>422</v>
      </c>
      <c r="F514" s="17"/>
      <c r="G514" s="24" t="s">
        <v>508</v>
      </c>
      <c r="H514" s="50">
        <v>639.98</v>
      </c>
      <c r="I514" s="652">
        <f t="shared" si="33"/>
        <v>0.2171786618331823</v>
      </c>
    </row>
    <row r="515" spans="1:10">
      <c r="A515" s="313" t="s">
        <v>687</v>
      </c>
      <c r="B515" s="43">
        <v>528</v>
      </c>
      <c r="C515" s="44" t="s">
        <v>121</v>
      </c>
      <c r="D515" s="415">
        <v>550</v>
      </c>
      <c r="E515" s="66" t="s">
        <v>601</v>
      </c>
      <c r="G515" s="45" t="s">
        <v>509</v>
      </c>
      <c r="H515" s="22">
        <v>928</v>
      </c>
      <c r="I515" s="652">
        <f t="shared" si="33"/>
        <v>0.31036637931034483</v>
      </c>
    </row>
    <row r="516" spans="1:10" ht="13.5" thickBot="1">
      <c r="A516" s="313" t="s">
        <v>218</v>
      </c>
      <c r="B516" s="101">
        <f>SUM(B514:B515)</f>
        <v>1163.3</v>
      </c>
      <c r="C516" s="44"/>
      <c r="D516" s="415">
        <v>870</v>
      </c>
      <c r="E516" s="66" t="s">
        <v>1038</v>
      </c>
      <c r="G516" s="45" t="s">
        <v>587</v>
      </c>
      <c r="H516" s="22">
        <f>AVERAGE(H511:H515)</f>
        <v>546.13400000000001</v>
      </c>
    </row>
    <row r="517" spans="1:10" ht="13.5" thickTop="1">
      <c r="A517" s="414"/>
      <c r="B517" s="24"/>
      <c r="C517" s="43"/>
      <c r="D517" s="43">
        <f>90*12</f>
        <v>1080</v>
      </c>
      <c r="E517" s="320" t="s">
        <v>961</v>
      </c>
      <c r="G517" s="24"/>
      <c r="H517" s="22"/>
    </row>
    <row r="518" spans="1:10" ht="13.5" thickBot="1">
      <c r="A518" s="294" t="str">
        <f>+'YE Projections'!$F$3</f>
        <v>6/30/2024 Projection</v>
      </c>
      <c r="B518" s="101">
        <f>+B512</f>
        <v>1500</v>
      </c>
      <c r="C518" s="44"/>
      <c r="D518" s="24">
        <v>0</v>
      </c>
      <c r="E518" s="66" t="s">
        <v>1041</v>
      </c>
      <c r="G518" s="570" t="s">
        <v>599</v>
      </c>
      <c r="H518" s="50">
        <f>+B516</f>
        <v>1163.3</v>
      </c>
      <c r="I518" s="654">
        <f>SUM(H518-H515)/H518</f>
        <v>0.2022694060001719</v>
      </c>
    </row>
    <row r="519" spans="1:10" ht="14.25" thickTop="1" thickBot="1">
      <c r="A519" s="462"/>
      <c r="B519" s="297"/>
      <c r="C519" s="298"/>
      <c r="D519" s="301"/>
      <c r="E519" s="299"/>
    </row>
    <row r="520" spans="1:10" ht="13.5" thickBot="1">
      <c r="A520" s="28"/>
      <c r="C520" s="44"/>
      <c r="D520" s="2"/>
      <c r="E520" s="2"/>
    </row>
    <row r="521" spans="1:10">
      <c r="A521" s="1080" t="s">
        <v>59</v>
      </c>
      <c r="B521" s="1083"/>
      <c r="C521" s="1083"/>
      <c r="D521" s="1083"/>
      <c r="E521" s="1084"/>
      <c r="G521" s="45" t="s">
        <v>501</v>
      </c>
      <c r="H521" s="50" t="s">
        <v>59</v>
      </c>
    </row>
    <row r="522" spans="1:10">
      <c r="A522" s="312"/>
      <c r="B522" s="65"/>
      <c r="C522" s="65"/>
      <c r="D522" s="65"/>
      <c r="E522" s="380"/>
      <c r="G522" s="24" t="s">
        <v>505</v>
      </c>
      <c r="H522" s="50">
        <v>496.95</v>
      </c>
      <c r="I522" s="17" t="s">
        <v>671</v>
      </c>
    </row>
    <row r="523" spans="1:10" ht="13.5" thickBot="1">
      <c r="A523" s="443" t="str">
        <f>+'YE Projections'!$G$3</f>
        <v>FY 23-24 Budget</v>
      </c>
      <c r="B523" s="101">
        <f>+'YE Projections'!G71</f>
        <v>1000</v>
      </c>
      <c r="C523" s="44" t="str">
        <f>+'YE Projections'!$I$3</f>
        <v>FY 24-25 Proposed</v>
      </c>
      <c r="D523" s="111">
        <f>SUM(D525:D533)</f>
        <v>1000</v>
      </c>
      <c r="E523" s="977">
        <f>SUM(D523-B523)/B523</f>
        <v>0</v>
      </c>
      <c r="G523" s="24" t="s">
        <v>506</v>
      </c>
      <c r="H523" s="50">
        <v>806.43</v>
      </c>
      <c r="I523" s="652">
        <f>SUM(H523-H522)/H523</f>
        <v>0.38376548491499568</v>
      </c>
    </row>
    <row r="524" spans="1:10" ht="13.5" thickTop="1">
      <c r="A524" s="414"/>
      <c r="B524" s="24"/>
      <c r="C524" s="24"/>
      <c r="D524" s="24"/>
      <c r="E524" s="66"/>
      <c r="G524" s="24" t="s">
        <v>507</v>
      </c>
      <c r="H524" s="50">
        <v>462.13</v>
      </c>
      <c r="I524" s="652">
        <f t="shared" ref="I524:I526" si="34">SUM(H524-H523)/H524</f>
        <v>-0.74502845519658967</v>
      </c>
      <c r="J524" s="17" t="s">
        <v>504</v>
      </c>
    </row>
    <row r="525" spans="1:10">
      <c r="A525" s="313" t="s">
        <v>361</v>
      </c>
      <c r="B525" s="43">
        <f>+'YE Projections'!C71</f>
        <v>850.55</v>
      </c>
      <c r="C525" s="24"/>
      <c r="D525" s="43">
        <v>1000</v>
      </c>
      <c r="E525" s="320" t="s">
        <v>213</v>
      </c>
      <c r="G525" s="24" t="s">
        <v>508</v>
      </c>
      <c r="H525" s="50">
        <v>604.82000000000005</v>
      </c>
      <c r="I525" s="652">
        <f t="shared" si="34"/>
        <v>0.23592143116960426</v>
      </c>
    </row>
    <row r="526" spans="1:10" ht="13.5" thickBot="1">
      <c r="A526" s="313" t="s">
        <v>218</v>
      </c>
      <c r="B526" s="101">
        <f>+B525</f>
        <v>850.55</v>
      </c>
      <c r="C526" s="442"/>
      <c r="D526" s="24"/>
      <c r="E526" s="66"/>
      <c r="G526" s="45" t="s">
        <v>509</v>
      </c>
      <c r="H526" s="22">
        <v>573.19000000000005</v>
      </c>
      <c r="I526" s="652">
        <f t="shared" si="34"/>
        <v>-5.5182400251225582E-2</v>
      </c>
    </row>
    <row r="527" spans="1:10" ht="13.5" thickTop="1">
      <c r="A527" s="414"/>
      <c r="B527" s="24"/>
      <c r="C527" s="24"/>
      <c r="D527" s="24"/>
      <c r="E527" s="66"/>
      <c r="G527" s="45" t="s">
        <v>587</v>
      </c>
      <c r="H527" s="22">
        <f>AVERAGE(H522:H526)</f>
        <v>588.70399999999995</v>
      </c>
    </row>
    <row r="528" spans="1:10">
      <c r="A528" s="484" t="str">
        <f>+A418</f>
        <v>Anticipated through June 30</v>
      </c>
      <c r="B528" s="43">
        <v>130</v>
      </c>
      <c r="C528" s="24"/>
      <c r="D528" s="24"/>
      <c r="E528" s="66"/>
      <c r="G528" s="24"/>
      <c r="H528" s="22"/>
    </row>
    <row r="529" spans="1:10" ht="13.5" thickBot="1">
      <c r="A529" s="294" t="str">
        <f>+'YE Projections'!$F$3</f>
        <v>6/30/2024 Projection</v>
      </c>
      <c r="B529" s="101">
        <f>+B526+B528</f>
        <v>980.55</v>
      </c>
      <c r="C529" s="24"/>
      <c r="D529" s="24"/>
      <c r="E529" s="66"/>
      <c r="G529" s="570" t="s">
        <v>599</v>
      </c>
      <c r="H529" s="50">
        <f>+B526</f>
        <v>850.55</v>
      </c>
      <c r="I529" s="655">
        <f>SUM(H529-H526)/H529</f>
        <v>0.3260948797836693</v>
      </c>
    </row>
    <row r="530" spans="1:10" ht="14.25" thickTop="1" thickBot="1">
      <c r="A530" s="462"/>
      <c r="B530" s="297"/>
      <c r="C530" s="301"/>
      <c r="D530" s="301"/>
      <c r="E530" s="299"/>
    </row>
    <row r="531" spans="1:10" ht="13.5" thickBot="1">
      <c r="A531" s="115"/>
      <c r="B531" s="43"/>
      <c r="C531" s="2"/>
      <c r="D531" s="2"/>
      <c r="E531" s="2"/>
    </row>
    <row r="532" spans="1:10">
      <c r="A532" s="1080" t="s">
        <v>60</v>
      </c>
      <c r="B532" s="1083"/>
      <c r="C532" s="1083"/>
      <c r="D532" s="1083"/>
      <c r="E532" s="1084"/>
      <c r="G532" s="45" t="s">
        <v>501</v>
      </c>
      <c r="H532" s="50" t="s">
        <v>60</v>
      </c>
    </row>
    <row r="533" spans="1:10">
      <c r="A533" s="313"/>
      <c r="B533" s="43"/>
      <c r="C533" s="24"/>
      <c r="D533" s="24"/>
      <c r="E533" s="380"/>
      <c r="G533" s="24" t="s">
        <v>505</v>
      </c>
      <c r="H533" s="50">
        <v>9360</v>
      </c>
      <c r="I533" s="17" t="s">
        <v>671</v>
      </c>
    </row>
    <row r="534" spans="1:10" ht="13.5" thickBot="1">
      <c r="A534" s="443" t="str">
        <f>+'YE Projections'!$G$3</f>
        <v>FY 23-24 Budget</v>
      </c>
      <c r="B534" s="101">
        <f>+'YE Projections'!G72</f>
        <v>13820</v>
      </c>
      <c r="C534" s="44" t="str">
        <f>+'YE Projections'!$I$3</f>
        <v>FY 24-25 Proposed</v>
      </c>
      <c r="D534" s="111">
        <f>SUM(D536:D541)</f>
        <v>13820</v>
      </c>
      <c r="E534" s="977">
        <f>SUM(D534-B534)/B534</f>
        <v>0</v>
      </c>
      <c r="G534" s="24" t="s">
        <v>506</v>
      </c>
      <c r="H534" s="50">
        <v>9743.5</v>
      </c>
      <c r="I534" s="652">
        <f>SUM(H534-H533)/H534</f>
        <v>3.935957304869913E-2</v>
      </c>
    </row>
    <row r="535" spans="1:10" ht="13.5" thickTop="1">
      <c r="A535" s="414"/>
      <c r="B535" s="24"/>
      <c r="C535" s="24"/>
      <c r="D535" s="24"/>
      <c r="E535" s="66"/>
      <c r="G535" s="24" t="s">
        <v>507</v>
      </c>
      <c r="H535" s="50">
        <v>9345</v>
      </c>
      <c r="I535" s="652">
        <f t="shared" ref="I535:I537" si="35">SUM(H535-H534)/H535</f>
        <v>-4.2643124665596575E-2</v>
      </c>
      <c r="J535" s="17" t="s">
        <v>504</v>
      </c>
    </row>
    <row r="536" spans="1:10">
      <c r="A536" s="313" t="s">
        <v>680</v>
      </c>
      <c r="B536" s="43">
        <f>+'YE Projections'!C72</f>
        <v>9395</v>
      </c>
      <c r="C536" s="44" t="s">
        <v>113</v>
      </c>
      <c r="D536" s="415">
        <f>985*12</f>
        <v>11820</v>
      </c>
      <c r="E536" s="92" t="s">
        <v>936</v>
      </c>
      <c r="G536" s="24" t="s">
        <v>508</v>
      </c>
      <c r="H536" s="50">
        <v>10004.540000000001</v>
      </c>
      <c r="I536" s="652">
        <f t="shared" si="35"/>
        <v>6.5924070472005797E-2</v>
      </c>
    </row>
    <row r="537" spans="1:10" ht="13.5" thickBot="1">
      <c r="A537" s="313" t="s">
        <v>218</v>
      </c>
      <c r="B537" s="101">
        <f>+B536</f>
        <v>9395</v>
      </c>
      <c r="C537" s="44" t="s">
        <v>172</v>
      </c>
      <c r="D537" s="415">
        <v>2000</v>
      </c>
      <c r="E537" s="92" t="s">
        <v>414</v>
      </c>
      <c r="G537" s="45" t="s">
        <v>509</v>
      </c>
      <c r="H537" s="22">
        <v>11049</v>
      </c>
      <c r="I537" s="652">
        <f t="shared" si="35"/>
        <v>9.4529821703321484E-2</v>
      </c>
    </row>
    <row r="538" spans="1:10" ht="13.5" thickTop="1">
      <c r="A538" s="414"/>
      <c r="B538" s="24"/>
      <c r="C538" s="24"/>
      <c r="D538" s="93"/>
      <c r="E538" s="92"/>
      <c r="G538" s="570" t="s">
        <v>599</v>
      </c>
      <c r="H538" s="50">
        <f>+B537</f>
        <v>9395</v>
      </c>
    </row>
    <row r="539" spans="1:10">
      <c r="A539" s="313"/>
      <c r="B539" s="43"/>
      <c r="C539" s="24"/>
      <c r="D539" s="24"/>
      <c r="E539" s="66"/>
      <c r="G539" s="24"/>
      <c r="H539" s="22"/>
    </row>
    <row r="540" spans="1:10">
      <c r="A540" s="484" t="s">
        <v>407</v>
      </c>
      <c r="B540" s="43">
        <f>958*'YE Projections'!A3</f>
        <v>1916</v>
      </c>
      <c r="C540" s="24"/>
      <c r="D540" s="24"/>
      <c r="E540" s="66"/>
      <c r="G540" s="2" t="s">
        <v>668</v>
      </c>
    </row>
    <row r="541" spans="1:10" ht="13.5" thickBot="1">
      <c r="A541" s="294" t="str">
        <f>+'YE Projections'!$F$3</f>
        <v>6/30/2024 Projection</v>
      </c>
      <c r="B541" s="101">
        <f>+B537+B539+B540</f>
        <v>11311</v>
      </c>
      <c r="C541" s="24"/>
      <c r="D541" s="24"/>
      <c r="E541" s="66"/>
    </row>
    <row r="542" spans="1:10" ht="14.25" thickTop="1" thickBot="1">
      <c r="A542" s="449"/>
      <c r="B542" s="301"/>
      <c r="C542" s="301"/>
      <c r="D542" s="301"/>
      <c r="E542" s="299"/>
    </row>
    <row r="543" spans="1:10" ht="13.5" thickBot="1">
      <c r="A543" s="28"/>
      <c r="C543" s="2"/>
      <c r="D543" s="2"/>
      <c r="E543" s="2"/>
    </row>
    <row r="544" spans="1:10">
      <c r="A544" s="1080" t="s">
        <v>159</v>
      </c>
      <c r="B544" s="1081"/>
      <c r="C544" s="1081"/>
      <c r="D544" s="1081"/>
      <c r="E544" s="1082"/>
    </row>
    <row r="545" spans="1:11">
      <c r="A545" s="414"/>
      <c r="B545" s="24"/>
      <c r="C545" s="24"/>
      <c r="D545" s="24"/>
      <c r="E545" s="380"/>
    </row>
    <row r="546" spans="1:11" ht="13.5" thickBot="1">
      <c r="A546" s="443" t="str">
        <f>+'YE Projections'!$G$3</f>
        <v>FY 23-24 Budget</v>
      </c>
      <c r="B546" s="101">
        <f>+'YE Projections'!G73</f>
        <v>11000</v>
      </c>
      <c r="C546" s="44" t="str">
        <f>+'YE Projections'!$I$3</f>
        <v>FY 24-25 Proposed</v>
      </c>
      <c r="D546" s="111">
        <f>SUM(D548:D556)</f>
        <v>12000</v>
      </c>
      <c r="E546" s="977">
        <f>SUM(D546-B546)/B546</f>
        <v>9.0909090909090912E-2</v>
      </c>
      <c r="G546" s="45" t="s">
        <v>501</v>
      </c>
      <c r="H546" s="653" t="str">
        <f>+A544</f>
        <v>6356 · Grounds Maintenance</v>
      </c>
      <c r="I546" s="565"/>
    </row>
    <row r="547" spans="1:11" ht="13.5" thickTop="1">
      <c r="A547" s="414"/>
      <c r="B547" s="45"/>
      <c r="C547" s="45"/>
      <c r="D547" s="45"/>
      <c r="E547" s="319"/>
      <c r="G547" s="24" t="s">
        <v>505</v>
      </c>
      <c r="H547" s="344">
        <v>5010.1000000000004</v>
      </c>
      <c r="I547" s="17" t="s">
        <v>671</v>
      </c>
      <c r="K547" s="17"/>
    </row>
    <row r="548" spans="1:11">
      <c r="A548" s="313" t="s">
        <v>714</v>
      </c>
      <c r="B548" s="43">
        <v>6050</v>
      </c>
      <c r="C548" s="44"/>
      <c r="D548" s="415">
        <f>450*12</f>
        <v>5400</v>
      </c>
      <c r="E548" s="92" t="s">
        <v>993</v>
      </c>
      <c r="G548" s="24" t="s">
        <v>506</v>
      </c>
      <c r="H548" s="344">
        <v>3538.62</v>
      </c>
      <c r="I548" s="652">
        <f>SUM(H548-H547)/H548</f>
        <v>-0.41583442132808851</v>
      </c>
      <c r="J548" s="17" t="s">
        <v>504</v>
      </c>
      <c r="K548" s="652"/>
    </row>
    <row r="549" spans="1:11">
      <c r="A549" s="313" t="s">
        <v>424</v>
      </c>
      <c r="B549" s="43">
        <v>545</v>
      </c>
      <c r="C549" s="24"/>
      <c r="D549" s="415">
        <v>3000</v>
      </c>
      <c r="E549" s="320" t="s">
        <v>223</v>
      </c>
      <c r="G549" s="24" t="s">
        <v>507</v>
      </c>
      <c r="H549" s="344">
        <v>4702.5200000000004</v>
      </c>
      <c r="I549" s="652">
        <f t="shared" ref="I549:I552" si="36">SUM(H549-H548)/H549</f>
        <v>0.24750559274601713</v>
      </c>
      <c r="K549" s="652"/>
    </row>
    <row r="550" spans="1:11">
      <c r="A550" s="313" t="s">
        <v>423</v>
      </c>
      <c r="B550" s="43">
        <f>2456.94+421.8+421.8+421.8+421.8+421.8</f>
        <v>4565.9400000000005</v>
      </c>
      <c r="C550" s="24"/>
      <c r="D550" s="415">
        <v>145</v>
      </c>
      <c r="E550" s="320" t="s">
        <v>220</v>
      </c>
      <c r="G550" s="24" t="s">
        <v>508</v>
      </c>
      <c r="H550" s="344">
        <v>16913.849999999999</v>
      </c>
      <c r="I550" s="652">
        <f t="shared" si="36"/>
        <v>0.7219722298589617</v>
      </c>
      <c r="J550" s="566" t="s">
        <v>510</v>
      </c>
      <c r="K550" s="652"/>
    </row>
    <row r="551" spans="1:11">
      <c r="A551" s="313" t="s">
        <v>220</v>
      </c>
      <c r="B551" s="43"/>
      <c r="C551" s="24"/>
      <c r="D551" s="415">
        <v>1120</v>
      </c>
      <c r="E551" s="528" t="s">
        <v>322</v>
      </c>
      <c r="G551" s="45" t="s">
        <v>509</v>
      </c>
      <c r="H551" s="22">
        <v>7373.88</v>
      </c>
      <c r="I551" s="652">
        <f t="shared" si="36"/>
        <v>-1.293751729076144</v>
      </c>
      <c r="J551" s="566"/>
      <c r="K551" s="652"/>
    </row>
    <row r="552" spans="1:11" ht="13.5" thickBot="1">
      <c r="A552" s="313" t="s">
        <v>218</v>
      </c>
      <c r="B552" s="101">
        <f>SUM(B548:B551)</f>
        <v>11160.94</v>
      </c>
      <c r="C552" s="24"/>
      <c r="D552" s="415">
        <v>2000</v>
      </c>
      <c r="E552" s="320" t="s">
        <v>362</v>
      </c>
      <c r="G552" s="570" t="s">
        <v>599</v>
      </c>
      <c r="H552" s="50">
        <f>+B552</f>
        <v>11160.94</v>
      </c>
      <c r="I552" s="652">
        <f t="shared" si="36"/>
        <v>0.33931371371945374</v>
      </c>
      <c r="J552" s="566" t="s">
        <v>681</v>
      </c>
    </row>
    <row r="553" spans="1:11" ht="13.5" thickTop="1">
      <c r="A553" s="313"/>
      <c r="B553" s="43"/>
      <c r="C553" s="24"/>
      <c r="D553" s="415">
        <v>335</v>
      </c>
      <c r="E553" s="320" t="s">
        <v>363</v>
      </c>
      <c r="G553" s="24"/>
      <c r="H553" s="22"/>
      <c r="I553" s="42"/>
    </row>
    <row r="554" spans="1:11">
      <c r="A554" s="484" t="s">
        <v>407</v>
      </c>
      <c r="B554" s="43">
        <f>421.8*2</f>
        <v>843.6</v>
      </c>
      <c r="C554" s="24"/>
      <c r="D554" s="24"/>
      <c r="E554" s="66"/>
      <c r="G554" s="2" t="s">
        <v>682</v>
      </c>
    </row>
    <row r="555" spans="1:11" ht="13.5" thickBot="1">
      <c r="A555" s="294" t="str">
        <f>+'YE Projections'!$F$3</f>
        <v>6/30/2024 Projection</v>
      </c>
      <c r="B555" s="111">
        <f>+B554+B552</f>
        <v>12004.54</v>
      </c>
      <c r="C555" s="24"/>
      <c r="D555" s="24"/>
      <c r="E555" s="66"/>
    </row>
    <row r="556" spans="1:11" ht="14.25" thickTop="1" thickBot="1">
      <c r="A556" s="449"/>
      <c r="B556" s="301"/>
      <c r="C556" s="301"/>
      <c r="D556" s="301"/>
      <c r="E556" s="299"/>
      <c r="I556" s="17"/>
    </row>
    <row r="557" spans="1:11" ht="13.5" thickBot="1">
      <c r="A557" s="28"/>
      <c r="C557" s="2"/>
      <c r="D557" s="2"/>
      <c r="E557" s="2"/>
      <c r="I557" s="17"/>
    </row>
    <row r="558" spans="1:11">
      <c r="A558" s="1080" t="s">
        <v>61</v>
      </c>
      <c r="B558" s="1083"/>
      <c r="C558" s="1083"/>
      <c r="D558" s="1083"/>
      <c r="E558" s="1084"/>
      <c r="F558" s="24"/>
      <c r="G558" s="45" t="s">
        <v>501</v>
      </c>
      <c r="H558" s="50" t="s">
        <v>61</v>
      </c>
      <c r="I558" s="28"/>
    </row>
    <row r="559" spans="1:11">
      <c r="A559" s="482"/>
      <c r="B559" s="24"/>
      <c r="C559" s="70"/>
      <c r="D559" s="110"/>
      <c r="E559" s="382"/>
      <c r="F559" s="24"/>
      <c r="G559" s="570" t="s">
        <v>505</v>
      </c>
      <c r="H559" s="50">
        <v>1632.6</v>
      </c>
      <c r="I559" s="17" t="s">
        <v>671</v>
      </c>
    </row>
    <row r="560" spans="1:11" ht="13.5" thickBot="1">
      <c r="A560" s="443" t="str">
        <f>+'YE Projections'!$G$3</f>
        <v>FY 23-24 Budget</v>
      </c>
      <c r="B560" s="101">
        <f>+'YE Projections'!G74</f>
        <v>2000</v>
      </c>
      <c r="C560" s="44" t="str">
        <f>+'YE Projections'!$I$3</f>
        <v>FY 24-25 Proposed</v>
      </c>
      <c r="D560" s="111">
        <f>SUM(D562:D568)</f>
        <v>2000</v>
      </c>
      <c r="E560" s="977">
        <f>SUM(D560-B560)/B560</f>
        <v>0</v>
      </c>
      <c r="F560" s="24"/>
      <c r="G560" s="570" t="s">
        <v>506</v>
      </c>
      <c r="H560" s="50">
        <v>1605.76</v>
      </c>
      <c r="I560" s="652">
        <f>SUM(H560-H559)/H560</f>
        <v>-1.6714826624152999E-2</v>
      </c>
      <c r="J560" s="17" t="s">
        <v>504</v>
      </c>
    </row>
    <row r="561" spans="1:9" ht="13.5" thickTop="1">
      <c r="A561" s="414"/>
      <c r="B561" s="24"/>
      <c r="C561" s="24"/>
      <c r="D561" s="24"/>
      <c r="E561" s="66"/>
      <c r="F561" s="24"/>
      <c r="G561" s="570" t="s">
        <v>507</v>
      </c>
      <c r="H561" s="50">
        <v>1806.38</v>
      </c>
      <c r="I561" s="652">
        <f t="shared" ref="I561:I563" si="37">SUM(H561-H560)/H561</f>
        <v>0.11106190281114721</v>
      </c>
    </row>
    <row r="562" spans="1:9">
      <c r="A562" s="313" t="s">
        <v>461</v>
      </c>
      <c r="B562" s="43">
        <f>24.93+38.97+34.98+45.25+10.95+2.66+10+7.98</f>
        <v>175.71999999999997</v>
      </c>
      <c r="C562" s="112"/>
      <c r="D562" s="43">
        <v>2000</v>
      </c>
      <c r="E562" s="66" t="s">
        <v>212</v>
      </c>
      <c r="F562" s="24"/>
      <c r="G562" s="570" t="s">
        <v>508</v>
      </c>
      <c r="H562" s="50">
        <v>1148.6300000000001</v>
      </c>
      <c r="I562" s="652">
        <f t="shared" si="37"/>
        <v>-0.57263870872256506</v>
      </c>
    </row>
    <row r="563" spans="1:9">
      <c r="A563" s="313" t="s">
        <v>526</v>
      </c>
      <c r="B563" s="43">
        <f>121.5+110</f>
        <v>231.5</v>
      </c>
      <c r="C563" s="24"/>
      <c r="D563" s="24"/>
      <c r="E563" s="66"/>
      <c r="F563" s="24"/>
      <c r="G563" s="45" t="s">
        <v>509</v>
      </c>
      <c r="H563" s="22">
        <v>1705.94</v>
      </c>
      <c r="I563" s="652">
        <f t="shared" si="37"/>
        <v>0.32668792571837224</v>
      </c>
    </row>
    <row r="564" spans="1:9">
      <c r="A564" s="313" t="s">
        <v>943</v>
      </c>
      <c r="B564" s="43">
        <f>450+240+428.43+30.47</f>
        <v>1148.9000000000001</v>
      </c>
      <c r="C564" s="24"/>
      <c r="D564" s="24"/>
      <c r="E564" s="66"/>
      <c r="F564" s="24"/>
      <c r="G564" s="45" t="s">
        <v>587</v>
      </c>
      <c r="H564" s="22">
        <f>AVERAGE(H559:H563)</f>
        <v>1579.8619999999999</v>
      </c>
      <c r="I564" s="28"/>
    </row>
    <row r="565" spans="1:9" ht="13.5" thickBot="1">
      <c r="A565" s="443" t="s">
        <v>218</v>
      </c>
      <c r="B565" s="101">
        <f>SUM(B562:B564)</f>
        <v>1556.1200000000001</v>
      </c>
      <c r="C565" s="527"/>
      <c r="D565" s="24"/>
      <c r="E565" s="66"/>
      <c r="F565" s="24"/>
      <c r="G565" s="24"/>
      <c r="H565" s="22"/>
      <c r="I565" s="28"/>
    </row>
    <row r="566" spans="1:9" ht="13.5" thickTop="1">
      <c r="A566" s="414"/>
      <c r="B566" s="24"/>
      <c r="C566" s="24"/>
      <c r="D566" s="24"/>
      <c r="E566" s="66"/>
      <c r="F566" s="24"/>
      <c r="G566" s="570" t="s">
        <v>599</v>
      </c>
      <c r="H566" s="50">
        <f>+B565</f>
        <v>1556.1200000000001</v>
      </c>
      <c r="I566" s="655">
        <f>SUM(H566-H563)/H566</f>
        <v>-9.6277922011155898E-2</v>
      </c>
    </row>
    <row r="567" spans="1:9">
      <c r="A567" s="313" t="s">
        <v>988</v>
      </c>
      <c r="B567" s="43">
        <f>+B560-B565</f>
        <v>443.87999999999988</v>
      </c>
      <c r="C567" s="24"/>
      <c r="D567" s="24"/>
      <c r="E567" s="66"/>
      <c r="F567" s="24"/>
      <c r="H567" s="22"/>
      <c r="I567" s="28"/>
    </row>
    <row r="568" spans="1:9" ht="13.5" thickBot="1">
      <c r="A568" s="294" t="str">
        <f>+'YE Projections'!$F$3</f>
        <v>6/30/2024 Projection</v>
      </c>
      <c r="B568" s="101">
        <f>+B565+B567</f>
        <v>2000</v>
      </c>
      <c r="C568" s="24"/>
      <c r="D568" s="24"/>
      <c r="E568" s="66"/>
      <c r="F568" s="24"/>
      <c r="H568" s="22"/>
      <c r="I568" s="28"/>
    </row>
    <row r="569" spans="1:9" ht="14.25" thickTop="1" thickBot="1">
      <c r="A569" s="467"/>
      <c r="B569" s="297"/>
      <c r="C569" s="301"/>
      <c r="D569" s="301"/>
      <c r="E569" s="299"/>
      <c r="F569" s="24"/>
      <c r="H569" s="22"/>
      <c r="I569" s="28"/>
    </row>
    <row r="570" spans="1:9" ht="13.5" thickBot="1">
      <c r="A570" s="17"/>
      <c r="C570" s="2"/>
      <c r="D570" s="2"/>
      <c r="E570" s="24"/>
      <c r="F570" s="24"/>
      <c r="H570" s="22"/>
      <c r="I570" s="28"/>
    </row>
    <row r="571" spans="1:9">
      <c r="A571" s="1080" t="s">
        <v>62</v>
      </c>
      <c r="B571" s="1081"/>
      <c r="C571" s="1081"/>
      <c r="D571" s="1081"/>
      <c r="E571" s="1082"/>
      <c r="F571" s="45"/>
      <c r="G571" s="45" t="s">
        <v>501</v>
      </c>
      <c r="H571" s="50" t="s">
        <v>62</v>
      </c>
      <c r="I571" s="609"/>
    </row>
    <row r="572" spans="1:9">
      <c r="A572" s="482"/>
      <c r="B572" s="24"/>
      <c r="C572" s="70"/>
      <c r="D572" s="110"/>
      <c r="E572" s="382"/>
      <c r="F572" s="24"/>
      <c r="G572" s="570" t="s">
        <v>505</v>
      </c>
      <c r="H572" s="50">
        <v>4980.5</v>
      </c>
      <c r="I572" s="608"/>
    </row>
    <row r="573" spans="1:9" ht="13.5" thickBot="1">
      <c r="A573" s="443" t="str">
        <f>+'YE Projections'!$G$3</f>
        <v>FY 23-24 Budget</v>
      </c>
      <c r="B573" s="101">
        <f>+'YE Projections'!G75</f>
        <v>10500</v>
      </c>
      <c r="C573" s="44" t="str">
        <f>+'YE Projections'!$I$3</f>
        <v>FY 24-25 Proposed</v>
      </c>
      <c r="D573" s="111">
        <f>SUM(D575:D580)</f>
        <v>27000</v>
      </c>
      <c r="E573" s="977">
        <f>SUM(D573-B573)/B573</f>
        <v>1.5714285714285714</v>
      </c>
      <c r="F573" s="44"/>
      <c r="G573" s="570" t="s">
        <v>506</v>
      </c>
      <c r="H573" s="50">
        <v>2250</v>
      </c>
      <c r="I573" s="608"/>
    </row>
    <row r="574" spans="1:9" ht="13.5" thickTop="1">
      <c r="A574" s="414"/>
      <c r="B574" s="24"/>
      <c r="C574" s="24"/>
      <c r="D574" s="24"/>
      <c r="E574" s="66"/>
      <c r="F574" s="24"/>
      <c r="G574" s="570" t="s">
        <v>507</v>
      </c>
      <c r="H574" s="50">
        <v>4477.5</v>
      </c>
      <c r="I574" s="608"/>
    </row>
    <row r="575" spans="1:9">
      <c r="A575" s="295" t="s">
        <v>181</v>
      </c>
      <c r="B575" s="43">
        <f>+'YE Projections'!C75</f>
        <v>8773.99</v>
      </c>
      <c r="C575" s="44" t="s">
        <v>181</v>
      </c>
      <c r="D575" s="415">
        <f>750*12</f>
        <v>9000</v>
      </c>
      <c r="E575" s="416" t="s">
        <v>683</v>
      </c>
      <c r="F575" s="24"/>
      <c r="G575" s="570" t="s">
        <v>508</v>
      </c>
      <c r="H575" s="50">
        <v>6540</v>
      </c>
      <c r="I575" s="608" t="s">
        <v>527</v>
      </c>
    </row>
    <row r="576" spans="1:9" ht="13.5" thickBot="1">
      <c r="A576" s="443" t="s">
        <v>218</v>
      </c>
      <c r="B576" s="101">
        <f>+B575</f>
        <v>8773.99</v>
      </c>
      <c r="C576" s="333" t="s">
        <v>528</v>
      </c>
      <c r="D576" s="43">
        <v>3000</v>
      </c>
      <c r="E576" s="66" t="s">
        <v>450</v>
      </c>
      <c r="F576" s="24"/>
      <c r="G576" s="45" t="s">
        <v>509</v>
      </c>
      <c r="H576" s="22">
        <v>9665</v>
      </c>
      <c r="I576" s="608" t="s">
        <v>527</v>
      </c>
    </row>
    <row r="577" spans="1:10" ht="13.5" thickTop="1">
      <c r="A577" s="443"/>
      <c r="B577" s="43"/>
      <c r="C577" s="333" t="s">
        <v>951</v>
      </c>
      <c r="D577" s="43">
        <v>15000</v>
      </c>
      <c r="E577" s="66" t="s">
        <v>989</v>
      </c>
      <c r="F577" s="24"/>
      <c r="G577" s="570" t="s">
        <v>599</v>
      </c>
      <c r="H577" s="50">
        <f>+B576</f>
        <v>8773.99</v>
      </c>
      <c r="I577" s="608"/>
    </row>
    <row r="578" spans="1:10">
      <c r="A578" s="313" t="s">
        <v>407</v>
      </c>
      <c r="B578" s="43">
        <f>900*2</f>
        <v>1800</v>
      </c>
      <c r="C578" s="24"/>
      <c r="D578" s="24"/>
      <c r="E578" s="66"/>
      <c r="F578" s="24"/>
      <c r="G578" s="24"/>
      <c r="H578" s="22"/>
      <c r="I578" s="608"/>
    </row>
    <row r="579" spans="1:10" ht="13.5" thickBot="1">
      <c r="A579" s="294" t="str">
        <f>+'YE Projections'!$F$3</f>
        <v>6/30/2024 Projection</v>
      </c>
      <c r="B579" s="101">
        <f>+B576+B578</f>
        <v>10573.99</v>
      </c>
      <c r="C579" s="24"/>
      <c r="D579" s="24"/>
      <c r="E579" s="66"/>
      <c r="F579" s="24"/>
      <c r="G579" s="2" t="s">
        <v>682</v>
      </c>
      <c r="I579" s="608"/>
    </row>
    <row r="580" spans="1:10" ht="14.25" thickTop="1" thickBot="1">
      <c r="A580" s="467"/>
      <c r="B580" s="297"/>
      <c r="C580" s="301"/>
      <c r="D580" s="301"/>
      <c r="E580" s="299"/>
      <c r="F580" s="24"/>
      <c r="H580" s="22"/>
      <c r="I580" s="608"/>
    </row>
    <row r="581" spans="1:10" ht="13.5" thickBot="1">
      <c r="A581" s="17"/>
      <c r="C581" s="2"/>
      <c r="D581" s="2"/>
      <c r="E581" s="24"/>
      <c r="F581" s="24"/>
      <c r="H581" s="22"/>
      <c r="I581" s="608"/>
    </row>
    <row r="582" spans="1:10">
      <c r="A582" s="1080" t="s">
        <v>63</v>
      </c>
      <c r="B582" s="1081"/>
      <c r="C582" s="1081"/>
      <c r="D582" s="1081"/>
      <c r="E582" s="1082"/>
      <c r="F582" s="45"/>
      <c r="G582" s="45" t="s">
        <v>501</v>
      </c>
      <c r="H582" s="50" t="s">
        <v>63</v>
      </c>
      <c r="I582" s="28"/>
    </row>
    <row r="583" spans="1:10">
      <c r="A583" s="482"/>
      <c r="B583" s="24"/>
      <c r="C583" s="70"/>
      <c r="D583" s="110"/>
      <c r="E583" s="382"/>
      <c r="F583" s="24"/>
      <c r="G583" s="570" t="s">
        <v>505</v>
      </c>
      <c r="H583" s="50">
        <v>1381.27</v>
      </c>
      <c r="I583" s="17" t="s">
        <v>671</v>
      </c>
    </row>
    <row r="584" spans="1:10" ht="13.5" thickBot="1">
      <c r="A584" s="443" t="str">
        <f>+'YE Projections'!$G$3</f>
        <v>FY 23-24 Budget</v>
      </c>
      <c r="B584" s="101">
        <f>+'YE Projections'!G76</f>
        <v>3000</v>
      </c>
      <c r="C584" s="44" t="str">
        <f>+'YE Projections'!$I$3</f>
        <v>FY 24-25 Proposed</v>
      </c>
      <c r="D584" s="111">
        <f>SUM(D586:D596)</f>
        <v>3000</v>
      </c>
      <c r="E584" s="977">
        <f>SUM(D584-B584)/B584</f>
        <v>0</v>
      </c>
      <c r="F584" s="24"/>
      <c r="G584" s="570" t="s">
        <v>506</v>
      </c>
      <c r="H584" s="50">
        <v>1302.99</v>
      </c>
      <c r="I584" s="652">
        <f>SUM(H584-H583)/H584</f>
        <v>-6.0077207039194447E-2</v>
      </c>
    </row>
    <row r="585" spans="1:10" ht="13.5" thickTop="1">
      <c r="A585" s="414"/>
      <c r="B585" s="24"/>
      <c r="C585" s="24"/>
      <c r="D585" s="24"/>
      <c r="E585" s="66"/>
      <c r="F585" s="24"/>
      <c r="G585" s="570" t="s">
        <v>507</v>
      </c>
      <c r="H585" s="50">
        <v>612.02</v>
      </c>
      <c r="I585" s="652">
        <f t="shared" ref="I585:I587" si="38">SUM(H585-H584)/H585</f>
        <v>-1.1289990523185518</v>
      </c>
      <c r="J585" s="17" t="s">
        <v>504</v>
      </c>
    </row>
    <row r="586" spans="1:10">
      <c r="A586" s="313" t="s">
        <v>529</v>
      </c>
      <c r="B586" s="43">
        <f>103.5+42.36+97.79+31.5+100+90.28+6.25+113.31+67.22+22.17+43.75+60.34+18.99+84.87+4.83</f>
        <v>887.16000000000008</v>
      </c>
      <c r="C586" s="44"/>
      <c r="D586" s="415">
        <v>1050</v>
      </c>
      <c r="E586" s="305" t="s">
        <v>214</v>
      </c>
      <c r="F586" s="24"/>
      <c r="G586" s="570" t="s">
        <v>508</v>
      </c>
      <c r="H586" s="50">
        <v>2387.17</v>
      </c>
      <c r="I586" s="652">
        <f t="shared" si="38"/>
        <v>0.74362110783898927</v>
      </c>
    </row>
    <row r="587" spans="1:10">
      <c r="A587" s="313" t="s">
        <v>654</v>
      </c>
      <c r="B587" s="43">
        <v>-284.66000000000003</v>
      </c>
      <c r="C587" s="44"/>
      <c r="D587" s="415">
        <v>700</v>
      </c>
      <c r="E587" s="305" t="s">
        <v>221</v>
      </c>
      <c r="F587" s="24"/>
      <c r="G587" s="45" t="s">
        <v>509</v>
      </c>
      <c r="H587" s="22">
        <v>2151.16</v>
      </c>
      <c r="I587" s="652">
        <f t="shared" si="38"/>
        <v>-0.10971289908700432</v>
      </c>
    </row>
    <row r="588" spans="1:10">
      <c r="A588" s="313" t="s">
        <v>363</v>
      </c>
      <c r="B588" s="43">
        <f>318.49+45.66+20.98+21.38+73.93</f>
        <v>480.44</v>
      </c>
      <c r="C588" s="44" t="s">
        <v>364</v>
      </c>
      <c r="D588" s="415">
        <v>250</v>
      </c>
      <c r="E588" s="66" t="s">
        <v>365</v>
      </c>
      <c r="F588" s="24"/>
      <c r="G588" s="45" t="s">
        <v>587</v>
      </c>
      <c r="H588" s="22">
        <f>AVERAGE(H583:H587)</f>
        <v>1566.922</v>
      </c>
      <c r="I588" s="28"/>
    </row>
    <row r="589" spans="1:10">
      <c r="A589" s="313" t="s">
        <v>364</v>
      </c>
      <c r="B589" s="43">
        <v>286.04000000000002</v>
      </c>
      <c r="C589" s="44" t="s">
        <v>425</v>
      </c>
      <c r="D589" s="43">
        <f>50*12</f>
        <v>600</v>
      </c>
      <c r="E589" s="66" t="s">
        <v>512</v>
      </c>
      <c r="F589" s="24"/>
      <c r="G589" s="45"/>
      <c r="H589" s="22"/>
      <c r="I589" s="28"/>
    </row>
    <row r="590" spans="1:10">
      <c r="A590" s="313" t="s">
        <v>449</v>
      </c>
      <c r="B590" s="43">
        <v>150.56</v>
      </c>
      <c r="C590" s="44"/>
      <c r="D590" s="415">
        <v>400</v>
      </c>
      <c r="E590" s="66" t="s">
        <v>995</v>
      </c>
      <c r="F590" s="24"/>
      <c r="G590" s="570" t="s">
        <v>599</v>
      </c>
      <c r="H590" s="50">
        <f>+B591</f>
        <v>1519.54</v>
      </c>
      <c r="I590" s="655">
        <f>SUM(H590-H587)/H590</f>
        <v>-0.41566526712031265</v>
      </c>
    </row>
    <row r="591" spans="1:10" ht="13.5" thickBot="1">
      <c r="A591" s="443" t="s">
        <v>218</v>
      </c>
      <c r="B591" s="101">
        <f>SUM(B586:B590)</f>
        <v>1519.54</v>
      </c>
      <c r="C591" s="44"/>
      <c r="D591" s="43"/>
      <c r="E591" s="66"/>
      <c r="F591" s="24"/>
      <c r="H591" s="2"/>
    </row>
    <row r="592" spans="1:10" ht="13.5" thickTop="1">
      <c r="A592" s="414"/>
      <c r="B592" s="24"/>
      <c r="C592" s="44"/>
      <c r="D592" s="43"/>
      <c r="E592" s="66"/>
      <c r="F592" s="24"/>
      <c r="H592" s="632"/>
      <c r="I592" s="610"/>
    </row>
    <row r="593" spans="1:10">
      <c r="A593" s="313" t="s">
        <v>407</v>
      </c>
      <c r="B593" s="43">
        <f>+B584-H590</f>
        <v>1480.46</v>
      </c>
      <c r="C593" s="44"/>
      <c r="D593" s="43"/>
      <c r="E593" s="66"/>
      <c r="F593" s="24"/>
      <c r="G593" s="571"/>
      <c r="H593" s="633"/>
      <c r="I593" s="611"/>
    </row>
    <row r="594" spans="1:10" ht="13.5" thickBot="1">
      <c r="A594" s="294" t="str">
        <f>+'YE Projections'!$F$3</f>
        <v>6/30/2024 Projection</v>
      </c>
      <c r="B594" s="101">
        <f>+B593+B591</f>
        <v>3000</v>
      </c>
      <c r="C594" s="67"/>
      <c r="D594" s="43"/>
      <c r="E594" s="66"/>
      <c r="F594" s="24"/>
      <c r="G594" s="571"/>
      <c r="H594" s="633"/>
      <c r="I594" s="611"/>
    </row>
    <row r="595" spans="1:10" ht="14.25" thickTop="1" thickBot="1">
      <c r="A595" s="449"/>
      <c r="B595" s="301"/>
      <c r="C595" s="298"/>
      <c r="D595" s="297"/>
      <c r="E595" s="299"/>
      <c r="F595" s="24"/>
      <c r="G595" s="571"/>
      <c r="H595" s="633"/>
      <c r="I595" s="611"/>
    </row>
    <row r="596" spans="1:10" ht="13.5" thickBot="1">
      <c r="A596" s="17"/>
      <c r="C596" s="2"/>
      <c r="D596" s="2"/>
      <c r="E596" s="43"/>
      <c r="F596" s="24"/>
      <c r="H596" s="22"/>
      <c r="I596" s="17"/>
    </row>
    <row r="597" spans="1:10">
      <c r="A597" s="1080" t="s">
        <v>64</v>
      </c>
      <c r="B597" s="1081"/>
      <c r="C597" s="1081"/>
      <c r="D597" s="1081"/>
      <c r="E597" s="1082"/>
      <c r="F597" s="45"/>
      <c r="G597" s="45" t="s">
        <v>501</v>
      </c>
      <c r="H597" s="50" t="s">
        <v>64</v>
      </c>
      <c r="I597" s="610"/>
    </row>
    <row r="598" spans="1:10">
      <c r="A598" s="414"/>
      <c r="B598" s="24"/>
      <c r="C598" s="24"/>
      <c r="D598" s="24"/>
      <c r="E598" s="380"/>
      <c r="F598" s="24"/>
      <c r="G598" s="24" t="s">
        <v>505</v>
      </c>
      <c r="H598" s="50">
        <v>1278.2</v>
      </c>
      <c r="I598" s="17" t="s">
        <v>671</v>
      </c>
    </row>
    <row r="599" spans="1:10" ht="13.5" thickBot="1">
      <c r="A599" s="443" t="str">
        <f>+'YE Projections'!$G$3</f>
        <v>FY 23-24 Budget</v>
      </c>
      <c r="B599" s="101">
        <f>+'YE Projections'!G77</f>
        <v>1000</v>
      </c>
      <c r="C599" s="44" t="str">
        <f>+$C$3</f>
        <v>FY 24-25 Proposed</v>
      </c>
      <c r="D599" s="111">
        <f>SUM(D601:D607)</f>
        <v>1250</v>
      </c>
      <c r="E599" s="977">
        <f>SUM(D599-B599)/B599</f>
        <v>0.25</v>
      </c>
      <c r="F599" s="24"/>
      <c r="G599" s="24" t="s">
        <v>506</v>
      </c>
      <c r="H599" s="50">
        <v>374.78</v>
      </c>
      <c r="I599" s="652">
        <f>SUM(H599-H598)/H599</f>
        <v>-2.4105341800522977</v>
      </c>
      <c r="J599" s="17" t="s">
        <v>504</v>
      </c>
    </row>
    <row r="600" spans="1:10" ht="13.5" thickTop="1">
      <c r="A600" s="414"/>
      <c r="B600" s="24"/>
      <c r="C600" s="24"/>
      <c r="D600" s="24"/>
      <c r="E600" s="66"/>
      <c r="F600" s="24"/>
      <c r="G600" s="24" t="s">
        <v>507</v>
      </c>
      <c r="H600" s="50">
        <v>121.99</v>
      </c>
      <c r="I600" s="652">
        <f t="shared" ref="I600:I602" si="39">SUM(H600-H599)/H600</f>
        <v>-2.0722190343470772</v>
      </c>
      <c r="J600" s="17" t="s">
        <v>504</v>
      </c>
    </row>
    <row r="601" spans="1:10">
      <c r="A601" s="313" t="s">
        <v>564</v>
      </c>
      <c r="B601" s="43">
        <v>390.95</v>
      </c>
      <c r="C601" s="112"/>
      <c r="D601" s="43">
        <v>1000</v>
      </c>
      <c r="E601" s="66" t="s">
        <v>212</v>
      </c>
      <c r="F601" s="24"/>
      <c r="G601" s="24" t="s">
        <v>508</v>
      </c>
      <c r="H601" s="50">
        <v>268.07</v>
      </c>
      <c r="I601" s="652">
        <f t="shared" si="39"/>
        <v>0.5449322938038571</v>
      </c>
    </row>
    <row r="602" spans="1:10">
      <c r="A602" s="313" t="s">
        <v>366</v>
      </c>
      <c r="B602" s="43">
        <v>46.3</v>
      </c>
      <c r="C602" s="24"/>
      <c r="D602" s="43">
        <v>250</v>
      </c>
      <c r="E602" s="66" t="s">
        <v>1029</v>
      </c>
      <c r="F602" s="24"/>
      <c r="G602" s="45" t="s">
        <v>509</v>
      </c>
      <c r="H602" s="22">
        <v>642.13</v>
      </c>
      <c r="I602" s="652">
        <f t="shared" si="39"/>
        <v>0.58253001728621934</v>
      </c>
    </row>
    <row r="603" spans="1:10">
      <c r="A603" s="25" t="s">
        <v>621</v>
      </c>
      <c r="B603" s="5">
        <v>250</v>
      </c>
      <c r="C603" s="24"/>
      <c r="D603" s="24"/>
      <c r="E603" s="66"/>
      <c r="F603" s="24"/>
      <c r="G603" s="45" t="s">
        <v>587</v>
      </c>
      <c r="H603" s="22">
        <f>AVERAGE(H598:H602)</f>
        <v>537.03399999999999</v>
      </c>
      <c r="I603" s="28"/>
    </row>
    <row r="604" spans="1:10" ht="13.5" thickBot="1">
      <c r="A604" s="443" t="s">
        <v>218</v>
      </c>
      <c r="B604" s="101">
        <f>SUM(B601:B603)</f>
        <v>687.25</v>
      </c>
      <c r="C604" s="24"/>
      <c r="D604" s="24"/>
      <c r="E604" s="66"/>
      <c r="F604" s="24"/>
      <c r="G604" s="24"/>
      <c r="H604" s="22"/>
      <c r="I604" s="28"/>
    </row>
    <row r="605" spans="1:10" ht="13.5" thickTop="1">
      <c r="A605" s="313" t="s">
        <v>407</v>
      </c>
      <c r="B605" s="43"/>
      <c r="C605" s="24"/>
      <c r="D605" s="24"/>
      <c r="E605" s="66"/>
      <c r="F605" s="24"/>
      <c r="G605" s="570" t="s">
        <v>599</v>
      </c>
      <c r="H605" s="50">
        <f>+B604</f>
        <v>687.25</v>
      </c>
      <c r="I605" s="655">
        <f>SUM(H605-H602)/H605</f>
        <v>6.5652964714441625E-2</v>
      </c>
    </row>
    <row r="606" spans="1:10" ht="13.5" thickBot="1">
      <c r="A606" s="294" t="str">
        <f>+'YE Projections'!$F$3</f>
        <v>6/30/2024 Projection</v>
      </c>
      <c r="B606" s="101">
        <f>+B605+B604</f>
        <v>687.25</v>
      </c>
      <c r="C606" s="24"/>
      <c r="D606" s="24"/>
      <c r="E606" s="66"/>
      <c r="F606" s="24"/>
      <c r="H606" s="22"/>
      <c r="I606" s="28"/>
    </row>
    <row r="607" spans="1:10" ht="14.25" thickTop="1" thickBot="1">
      <c r="A607" s="467"/>
      <c r="B607" s="297"/>
      <c r="C607" s="301"/>
      <c r="D607" s="301"/>
      <c r="E607" s="299"/>
      <c r="F607" s="24"/>
      <c r="G607" s="24"/>
      <c r="H607" s="22"/>
      <c r="I607" s="28"/>
    </row>
    <row r="608" spans="1:10" ht="13.5" thickBot="1">
      <c r="A608" s="17"/>
      <c r="C608" s="2"/>
      <c r="D608" s="2"/>
      <c r="E608" s="24"/>
      <c r="F608" s="24"/>
      <c r="G608" s="24"/>
      <c r="H608" s="22"/>
      <c r="I608" s="28"/>
    </row>
    <row r="609" spans="1:10">
      <c r="A609" s="589"/>
      <c r="B609" s="292"/>
      <c r="C609" s="591" t="s">
        <v>960</v>
      </c>
      <c r="D609" s="401"/>
      <c r="E609" s="590"/>
      <c r="G609" s="2" t="s">
        <v>558</v>
      </c>
      <c r="I609" s="17"/>
    </row>
    <row r="610" spans="1:10">
      <c r="A610" s="61"/>
      <c r="B610" s="24"/>
      <c r="C610" s="45" t="s">
        <v>566</v>
      </c>
      <c r="D610" s="93"/>
      <c r="E610" s="92"/>
      <c r="G610" s="2" t="s">
        <v>556</v>
      </c>
      <c r="H610" s="634">
        <v>100</v>
      </c>
      <c r="I610" s="17" t="s">
        <v>554</v>
      </c>
    </row>
    <row r="611" spans="1:10" ht="13.5" thickBot="1">
      <c r="A611" s="443" t="str">
        <f>+'YE Projections'!$G$3</f>
        <v>FY 23-24 Budget</v>
      </c>
      <c r="B611" s="101">
        <f>+'YE Projections'!G122</f>
        <v>7500</v>
      </c>
      <c r="C611" s="44" t="str">
        <f>+'6010-6493'!C560</f>
        <v>FY 24-25 Proposed</v>
      </c>
      <c r="D611" s="422">
        <f>+D613</f>
        <v>15688.009372758517</v>
      </c>
      <c r="E611" s="977">
        <f>SUM(D611-B611)/B611</f>
        <v>1.0917345830344689</v>
      </c>
      <c r="G611" s="2" t="s">
        <v>555</v>
      </c>
      <c r="H611" s="344" t="s">
        <v>557</v>
      </c>
      <c r="I611" s="344">
        <v>1500</v>
      </c>
    </row>
    <row r="612" spans="1:10" ht="13.5" thickTop="1">
      <c r="A612" s="61"/>
      <c r="B612" s="24"/>
      <c r="C612" s="43"/>
      <c r="D612" s="93"/>
      <c r="E612" s="92"/>
      <c r="G612" s="2" t="s">
        <v>559</v>
      </c>
      <c r="I612" s="344">
        <v>600</v>
      </c>
    </row>
    <row r="613" spans="1:10">
      <c r="A613" s="61"/>
      <c r="B613" s="24"/>
      <c r="C613" s="44"/>
      <c r="D613" s="415">
        <f>+'YE Projections'!F125</f>
        <v>15688.009372758517</v>
      </c>
      <c r="E613" s="92" t="s">
        <v>994</v>
      </c>
      <c r="G613" s="2" t="s">
        <v>560</v>
      </c>
      <c r="I613" s="344">
        <v>300</v>
      </c>
    </row>
    <row r="614" spans="1:10">
      <c r="A614" s="61"/>
      <c r="B614" s="24"/>
      <c r="C614" s="43"/>
      <c r="D614" s="93"/>
      <c r="E614" s="92"/>
      <c r="G614" s="2" t="s">
        <v>561</v>
      </c>
      <c r="I614" s="344">
        <v>199</v>
      </c>
    </row>
    <row r="615" spans="1:10" ht="13.5" thickBot="1">
      <c r="A615" s="294" t="str">
        <f>+'YE Projections'!$F$3</f>
        <v>6/30/2024 Projection</v>
      </c>
      <c r="B615" s="101">
        <f>SUM(B612:B614)</f>
        <v>0</v>
      </c>
      <c r="C615" s="24"/>
      <c r="D615" s="93"/>
      <c r="E615" s="92"/>
      <c r="G615" s="2" t="s">
        <v>562</v>
      </c>
      <c r="I615" s="344">
        <v>2599</v>
      </c>
    </row>
    <row r="616" spans="1:10" ht="14.25" thickTop="1" thickBot="1">
      <c r="A616" s="300"/>
      <c r="B616" s="301"/>
      <c r="C616" s="301"/>
      <c r="D616" s="426"/>
      <c r="E616" s="97"/>
      <c r="I616" s="17"/>
    </row>
    <row r="617" spans="1:10" ht="13.5" thickBot="1">
      <c r="A617" s="17"/>
      <c r="C617" s="2"/>
      <c r="D617" s="2"/>
      <c r="E617" s="24"/>
      <c r="F617" s="24"/>
      <c r="G617" s="24"/>
      <c r="H617" s="22"/>
      <c r="I617" s="28"/>
    </row>
    <row r="618" spans="1:10">
      <c r="A618" s="1080" t="s">
        <v>65</v>
      </c>
      <c r="B618" s="1081"/>
      <c r="C618" s="1081"/>
      <c r="D618" s="1081"/>
      <c r="E618" s="1082"/>
      <c r="F618" s="45"/>
      <c r="G618" s="45" t="s">
        <v>501</v>
      </c>
      <c r="H618" s="50" t="s">
        <v>65</v>
      </c>
      <c r="I618" s="465"/>
    </row>
    <row r="619" spans="1:10">
      <c r="A619" s="482"/>
      <c r="B619" s="24"/>
      <c r="C619" s="70"/>
      <c r="D619" s="110"/>
      <c r="E619" s="380"/>
      <c r="F619" s="24"/>
      <c r="G619" s="24" t="s">
        <v>505</v>
      </c>
      <c r="H619" s="50">
        <v>534.5</v>
      </c>
      <c r="I619" s="17" t="s">
        <v>671</v>
      </c>
    </row>
    <row r="620" spans="1:10" ht="13.5" thickBot="1">
      <c r="A620" s="443" t="str">
        <f>+'YE Projections'!$G$3</f>
        <v>FY 23-24 Budget</v>
      </c>
      <c r="B620" s="101">
        <f>+'YE Projections'!G78</f>
        <v>2500</v>
      </c>
      <c r="C620" s="44" t="str">
        <f>+$C$3</f>
        <v>FY 24-25 Proposed</v>
      </c>
      <c r="D620" s="111">
        <f>SUM(D622:D627)</f>
        <v>2500</v>
      </c>
      <c r="E620" s="977">
        <f>SUM(D620-B620)/B620</f>
        <v>0</v>
      </c>
      <c r="F620" s="24"/>
      <c r="G620" s="24" t="s">
        <v>506</v>
      </c>
      <c r="H620" s="50">
        <v>1409.9</v>
      </c>
      <c r="I620" s="652">
        <f>SUM(H620-H619)/H620</f>
        <v>0.62089509894318751</v>
      </c>
    </row>
    <row r="621" spans="1:10" ht="13.5" thickTop="1">
      <c r="A621" s="414"/>
      <c r="B621" s="24"/>
      <c r="C621" s="24"/>
      <c r="D621" s="24"/>
      <c r="E621" s="66"/>
      <c r="F621" s="24"/>
      <c r="G621" s="24" t="s">
        <v>507</v>
      </c>
      <c r="H621" s="50">
        <v>524.70000000000005</v>
      </c>
      <c r="I621" s="652">
        <f t="shared" ref="I621:I623" si="40">SUM(H621-H620)/H621</f>
        <v>-1.6870592719649322</v>
      </c>
      <c r="J621" s="17" t="s">
        <v>504</v>
      </c>
    </row>
    <row r="622" spans="1:10">
      <c r="A622" s="313" t="s">
        <v>715</v>
      </c>
      <c r="B622" s="43">
        <v>1800</v>
      </c>
      <c r="C622" s="24"/>
      <c r="D622" s="43">
        <v>250</v>
      </c>
      <c r="E622" s="320" t="s">
        <v>426</v>
      </c>
      <c r="F622" s="24"/>
      <c r="G622" s="24" t="s">
        <v>508</v>
      </c>
      <c r="H622" s="50">
        <v>167.98</v>
      </c>
      <c r="I622" s="652">
        <f t="shared" si="40"/>
        <v>-2.1235861412072867</v>
      </c>
      <c r="J622" s="17" t="s">
        <v>504</v>
      </c>
    </row>
    <row r="623" spans="1:10">
      <c r="A623" s="313"/>
      <c r="B623" s="43"/>
      <c r="C623" s="24"/>
      <c r="D623" s="43">
        <v>2000</v>
      </c>
      <c r="E623" s="320" t="s">
        <v>600</v>
      </c>
      <c r="F623" s="24"/>
      <c r="G623" s="45" t="s">
        <v>509</v>
      </c>
      <c r="H623" s="22">
        <v>3300</v>
      </c>
      <c r="I623" s="652">
        <f t="shared" si="40"/>
        <v>0.94909696969696966</v>
      </c>
    </row>
    <row r="624" spans="1:10" ht="13.5" thickBot="1">
      <c r="A624" s="443" t="s">
        <v>218</v>
      </c>
      <c r="B624" s="101">
        <f>SUM(B622:B623)</f>
        <v>1800</v>
      </c>
      <c r="C624" s="24"/>
      <c r="D624" s="43">
        <v>250</v>
      </c>
      <c r="E624" s="1015" t="s">
        <v>992</v>
      </c>
      <c r="F624" s="24"/>
      <c r="G624" s="45" t="s">
        <v>587</v>
      </c>
      <c r="H624" s="22">
        <f>AVERAGE(H619:H623)</f>
        <v>1187.4159999999999</v>
      </c>
      <c r="I624" s="28"/>
    </row>
    <row r="625" spans="1:9" ht="13.5" thickTop="1">
      <c r="A625" s="443"/>
      <c r="B625" s="43"/>
      <c r="C625" s="112"/>
      <c r="D625" s="43"/>
      <c r="E625" s="66"/>
      <c r="F625" s="24"/>
      <c r="G625" s="24"/>
      <c r="H625" s="22"/>
      <c r="I625" s="28"/>
    </row>
    <row r="626" spans="1:9">
      <c r="A626" s="313" t="s">
        <v>407</v>
      </c>
      <c r="B626" s="43">
        <v>0</v>
      </c>
      <c r="C626" s="112"/>
      <c r="D626" s="43"/>
      <c r="E626" s="66"/>
      <c r="F626" s="24"/>
      <c r="G626" s="570" t="s">
        <v>599</v>
      </c>
      <c r="H626" s="50">
        <f>+B624</f>
        <v>1800</v>
      </c>
      <c r="I626" s="655">
        <f>SUM(H626-H623)/H626</f>
        <v>-0.83333333333333337</v>
      </c>
    </row>
    <row r="627" spans="1:9" ht="13.5" thickBot="1">
      <c r="A627" s="294" t="str">
        <f>+'YE Projections'!$F$3</f>
        <v>6/30/2024 Projection</v>
      </c>
      <c r="B627" s="101">
        <f>+B626+B624</f>
        <v>1800</v>
      </c>
      <c r="C627" s="24"/>
      <c r="D627" s="24"/>
      <c r="E627" s="66"/>
      <c r="F627" s="24"/>
      <c r="G627" s="24"/>
      <c r="H627" s="22"/>
      <c r="I627" s="28"/>
    </row>
    <row r="628" spans="1:9" ht="14.25" thickTop="1" thickBot="1">
      <c r="A628" s="467"/>
      <c r="B628" s="297"/>
      <c r="C628" s="301"/>
      <c r="D628" s="301"/>
      <c r="E628" s="299"/>
      <c r="F628" s="24"/>
      <c r="G628" s="24"/>
      <c r="H628" s="22"/>
      <c r="I628" s="28"/>
    </row>
    <row r="629" spans="1:9" ht="13.5" thickBot="1">
      <c r="A629" s="483"/>
      <c r="B629" s="334"/>
      <c r="C629" s="292"/>
      <c r="D629" s="292"/>
      <c r="E629" s="292"/>
      <c r="F629" s="24"/>
      <c r="G629" s="24"/>
      <c r="H629" s="22"/>
      <c r="I629" s="28"/>
    </row>
    <row r="630" spans="1:9">
      <c r="A630" s="1080" t="s">
        <v>66</v>
      </c>
      <c r="B630" s="1081"/>
      <c r="C630" s="1081"/>
      <c r="D630" s="1081"/>
      <c r="E630" s="1082"/>
      <c r="F630" s="45"/>
      <c r="G630" s="45" t="s">
        <v>501</v>
      </c>
      <c r="H630" s="50" t="s">
        <v>66</v>
      </c>
      <c r="I630" s="465"/>
    </row>
    <row r="631" spans="1:9">
      <c r="A631" s="482"/>
      <c r="B631" s="24"/>
      <c r="C631" s="70"/>
      <c r="D631" s="110"/>
      <c r="E631" s="380"/>
      <c r="F631" s="24"/>
      <c r="G631" s="24" t="s">
        <v>505</v>
      </c>
      <c r="H631" s="50">
        <v>996</v>
      </c>
      <c r="I631" s="533" t="s">
        <v>543</v>
      </c>
    </row>
    <row r="632" spans="1:9" ht="13.5" thickBot="1">
      <c r="A632" s="443" t="str">
        <f>+'YE Projections'!$G$3</f>
        <v>FY 23-24 Budget</v>
      </c>
      <c r="B632" s="101">
        <f>+'YE Projections'!G79</f>
        <v>100</v>
      </c>
      <c r="C632" s="44" t="str">
        <f>+$C$3</f>
        <v>FY 24-25 Proposed</v>
      </c>
      <c r="D632" s="111">
        <f>SUM(D634:D634)</f>
        <v>1000</v>
      </c>
      <c r="E632" s="977">
        <f>SUM(D632-B632)/B632</f>
        <v>9</v>
      </c>
      <c r="F632" s="24"/>
      <c r="G632" s="24" t="s">
        <v>506</v>
      </c>
      <c r="H632" s="50">
        <v>0</v>
      </c>
      <c r="I632" s="28"/>
    </row>
    <row r="633" spans="1:9" ht="13.5" thickTop="1">
      <c r="A633" s="414"/>
      <c r="B633" s="24"/>
      <c r="C633" s="24"/>
      <c r="D633" s="24"/>
      <c r="E633" s="66"/>
      <c r="F633" s="24"/>
      <c r="G633" s="24" t="s">
        <v>507</v>
      </c>
      <c r="H633" s="50">
        <v>0</v>
      </c>
      <c r="I633" s="28"/>
    </row>
    <row r="634" spans="1:9" ht="13.5" thickBot="1">
      <c r="A634" s="443" t="s">
        <v>218</v>
      </c>
      <c r="B634" s="101">
        <f>+'YE Projections'!C79</f>
        <v>0</v>
      </c>
      <c r="C634" s="112" t="s">
        <v>212</v>
      </c>
      <c r="D634" s="43">
        <v>1000</v>
      </c>
      <c r="E634" s="66" t="s">
        <v>990</v>
      </c>
      <c r="F634" s="24"/>
      <c r="G634" s="24" t="s">
        <v>508</v>
      </c>
      <c r="H634" s="50">
        <v>0</v>
      </c>
      <c r="I634" s="28"/>
    </row>
    <row r="635" spans="1:9" ht="13.5" thickTop="1">
      <c r="A635" s="414"/>
      <c r="B635" s="24"/>
      <c r="C635" s="24"/>
      <c r="D635" s="24"/>
      <c r="E635" s="66"/>
      <c r="F635" s="24"/>
      <c r="G635" s="45" t="s">
        <v>509</v>
      </c>
      <c r="H635" s="22">
        <v>0</v>
      </c>
      <c r="I635" s="28"/>
    </row>
    <row r="636" spans="1:9" ht="13.5" thickBot="1">
      <c r="A636" s="294" t="str">
        <f>+'YE Projections'!$F$3</f>
        <v>6/30/2024 Projection</v>
      </c>
      <c r="B636" s="101">
        <f>+B634</f>
        <v>0</v>
      </c>
      <c r="C636" s="24"/>
      <c r="D636" s="24"/>
      <c r="E636" s="66"/>
      <c r="F636" s="24"/>
      <c r="G636" s="570" t="s">
        <v>599</v>
      </c>
      <c r="H636" s="50">
        <f>+B638</f>
        <v>0</v>
      </c>
      <c r="I636" s="28"/>
    </row>
    <row r="637" spans="1:9" ht="14.25" thickTop="1" thickBot="1">
      <c r="A637" s="467"/>
      <c r="B637" s="297"/>
      <c r="C637" s="301"/>
      <c r="D637" s="301"/>
      <c r="E637" s="299"/>
      <c r="F637" s="24"/>
      <c r="G637" s="24" t="s">
        <v>674</v>
      </c>
      <c r="H637" s="22"/>
      <c r="I637" s="28"/>
    </row>
    <row r="638" spans="1:9" ht="13.5" thickBot="1">
      <c r="A638" s="17"/>
      <c r="C638" s="2"/>
      <c r="D638" s="2"/>
      <c r="E638" s="24"/>
      <c r="F638" s="24"/>
      <c r="I638" s="28"/>
    </row>
    <row r="639" spans="1:9">
      <c r="A639" s="1080" t="s">
        <v>67</v>
      </c>
      <c r="B639" s="1081"/>
      <c r="C639" s="1081"/>
      <c r="D639" s="1081"/>
      <c r="E639" s="1082"/>
      <c r="F639" s="70"/>
      <c r="G639" s="3"/>
      <c r="H639" s="635"/>
      <c r="I639" s="465"/>
    </row>
    <row r="640" spans="1:9">
      <c r="A640" s="482"/>
      <c r="B640" s="24"/>
      <c r="C640" s="70"/>
      <c r="D640" s="110"/>
      <c r="E640" s="380"/>
      <c r="F640" s="70"/>
      <c r="G640" s="45" t="s">
        <v>501</v>
      </c>
      <c r="H640" s="50" t="s">
        <v>67</v>
      </c>
      <c r="I640" s="28"/>
    </row>
    <row r="641" spans="1:10" ht="13.5" thickBot="1">
      <c r="A641" s="443" t="str">
        <f>+'YE Projections'!$G$3</f>
        <v>FY 23-24 Budget</v>
      </c>
      <c r="B641" s="101">
        <f>+'YE Projections'!G80</f>
        <v>5000</v>
      </c>
      <c r="C641" s="44" t="str">
        <f>+$C$3</f>
        <v>FY 24-25 Proposed</v>
      </c>
      <c r="D641" s="111">
        <f>SUM(D643:D650)</f>
        <v>5000</v>
      </c>
      <c r="E641" s="977">
        <f>SUM(D641-B641)/B641</f>
        <v>0</v>
      </c>
      <c r="F641" s="43"/>
      <c r="G641" s="24" t="s">
        <v>505</v>
      </c>
      <c r="H641" s="50">
        <v>2062.46</v>
      </c>
      <c r="I641" s="17" t="s">
        <v>671</v>
      </c>
    </row>
    <row r="642" spans="1:10" ht="13.5" thickTop="1">
      <c r="A642" s="414"/>
      <c r="B642" s="24"/>
      <c r="C642" s="24"/>
      <c r="D642" s="24"/>
      <c r="E642" s="66"/>
      <c r="F642" s="43"/>
      <c r="G642" s="24" t="s">
        <v>506</v>
      </c>
      <c r="H642" s="50">
        <v>1475.89</v>
      </c>
      <c r="I642" s="652">
        <f>SUM(H642-H641)/H642</f>
        <v>-0.39743476817377982</v>
      </c>
      <c r="J642" s="17" t="s">
        <v>504</v>
      </c>
    </row>
    <row r="643" spans="1:10">
      <c r="A643" s="313" t="s">
        <v>451</v>
      </c>
      <c r="B643" s="43">
        <f>1413.56-250+50.97+34.57+131.29+48.44+139.05+123.08+240.36+137.44+30.66+14.31+263.71+22.61+176.4+25.6</f>
        <v>2602.0499999999997</v>
      </c>
      <c r="C643" s="44"/>
      <c r="D643" s="43">
        <v>5000</v>
      </c>
      <c r="E643" s="66" t="s">
        <v>212</v>
      </c>
      <c r="F643" s="43"/>
      <c r="G643" s="24" t="s">
        <v>507</v>
      </c>
      <c r="H643" s="50">
        <v>1744.62</v>
      </c>
      <c r="I643" s="652">
        <f t="shared" ref="I643:I645" si="41">SUM(H643-H642)/H643</f>
        <v>0.15403354312113801</v>
      </c>
    </row>
    <row r="644" spans="1:10">
      <c r="A644" s="313" t="s">
        <v>655</v>
      </c>
      <c r="B644" s="43">
        <v>250</v>
      </c>
      <c r="C644" s="44"/>
      <c r="D644" s="24"/>
      <c r="E644" s="335"/>
      <c r="F644" s="43"/>
      <c r="G644" s="24" t="s">
        <v>508</v>
      </c>
      <c r="H644" s="50">
        <v>1671.92</v>
      </c>
      <c r="I644" s="652">
        <f t="shared" si="41"/>
        <v>-4.3482941767548577E-2</v>
      </c>
    </row>
    <row r="645" spans="1:10" ht="13.5" thickBot="1">
      <c r="A645" s="443" t="s">
        <v>218</v>
      </c>
      <c r="B645" s="101">
        <f>SUM(B643:B644)</f>
        <v>2852.0499999999997</v>
      </c>
      <c r="C645" s="527"/>
      <c r="D645" s="24"/>
      <c r="E645" s="335"/>
      <c r="F645" s="24"/>
      <c r="G645" s="45" t="s">
        <v>509</v>
      </c>
      <c r="H645" s="22">
        <v>3344.96</v>
      </c>
      <c r="I645" s="652">
        <f t="shared" si="41"/>
        <v>0.50016741605280779</v>
      </c>
    </row>
    <row r="646" spans="1:10" ht="13.5" thickTop="1">
      <c r="A646" s="414"/>
      <c r="B646" s="24"/>
      <c r="C646" s="24"/>
      <c r="D646" s="24"/>
      <c r="E646" s="335"/>
      <c r="F646" s="24"/>
      <c r="G646" s="45" t="s">
        <v>587</v>
      </c>
      <c r="H646" s="22">
        <f>AVERAGE(H641:H645)</f>
        <v>2059.9700000000003</v>
      </c>
      <c r="I646" s="28"/>
    </row>
    <row r="647" spans="1:10">
      <c r="A647" s="313" t="s">
        <v>407</v>
      </c>
      <c r="B647" s="43">
        <f>5000-B645</f>
        <v>2147.9500000000003</v>
      </c>
      <c r="C647" s="24"/>
      <c r="D647" s="24"/>
      <c r="E647" s="335"/>
      <c r="F647" s="24"/>
      <c r="G647" s="24"/>
      <c r="H647" s="22"/>
      <c r="I647" s="28"/>
    </row>
    <row r="648" spans="1:10" ht="13.5" thickBot="1">
      <c r="A648" s="294" t="str">
        <f>+'YE Projections'!$F$3</f>
        <v>6/30/2024 Projection</v>
      </c>
      <c r="B648" s="101">
        <f>+B645+B647</f>
        <v>5000</v>
      </c>
      <c r="C648" s="24"/>
      <c r="D648" s="24"/>
      <c r="E648" s="335"/>
      <c r="F648" s="24"/>
      <c r="G648" s="570" t="s">
        <v>599</v>
      </c>
      <c r="H648" s="50">
        <f>+B645</f>
        <v>2852.0499999999997</v>
      </c>
      <c r="I648" s="655">
        <f>SUM(H648-H645)/H648</f>
        <v>-0.17282656334917001</v>
      </c>
    </row>
    <row r="649" spans="1:10" ht="14.25" thickTop="1" thickBot="1">
      <c r="A649" s="467"/>
      <c r="B649" s="297"/>
      <c r="C649" s="301"/>
      <c r="D649" s="301"/>
      <c r="E649" s="336"/>
      <c r="F649" s="24"/>
      <c r="H649" s="22"/>
      <c r="I649" s="28"/>
    </row>
    <row r="650" spans="1:10" ht="13.5" thickBot="1">
      <c r="A650" s="17"/>
      <c r="C650" s="2"/>
      <c r="D650" s="2"/>
      <c r="E650" s="24"/>
      <c r="F650" s="24"/>
      <c r="H650" s="22"/>
      <c r="I650" s="28"/>
    </row>
    <row r="651" spans="1:10">
      <c r="A651" s="1080" t="s">
        <v>68</v>
      </c>
      <c r="B651" s="1081"/>
      <c r="C651" s="1081"/>
      <c r="D651" s="1081"/>
      <c r="E651" s="1082"/>
      <c r="F651" s="45"/>
      <c r="G651" s="45" t="s">
        <v>501</v>
      </c>
      <c r="H651" s="50" t="s">
        <v>68</v>
      </c>
      <c r="I651" s="610"/>
    </row>
    <row r="652" spans="1:10">
      <c r="A652" s="482"/>
      <c r="B652" s="24"/>
      <c r="C652" s="70"/>
      <c r="D652" s="110"/>
      <c r="E652" s="380"/>
      <c r="F652" s="24"/>
      <c r="G652" s="24" t="s">
        <v>505</v>
      </c>
      <c r="H652" s="50">
        <v>1846.78</v>
      </c>
      <c r="I652" s="17" t="s">
        <v>671</v>
      </c>
    </row>
    <row r="653" spans="1:10" ht="13.5" thickBot="1">
      <c r="A653" s="443" t="str">
        <f>+'YE Projections'!$G$3</f>
        <v>FY 23-24 Budget</v>
      </c>
      <c r="B653" s="101">
        <f>+'YE Projections'!G81</f>
        <v>3000</v>
      </c>
      <c r="C653" s="44" t="str">
        <f>+$C$3</f>
        <v>FY 24-25 Proposed</v>
      </c>
      <c r="D653" s="111">
        <f>SUM(D655:D662)</f>
        <v>3000</v>
      </c>
      <c r="E653" s="977">
        <f>SUM(D653-B653)/B653</f>
        <v>0</v>
      </c>
      <c r="F653" s="70"/>
      <c r="G653" s="24" t="s">
        <v>506</v>
      </c>
      <c r="H653" s="50">
        <v>3142.25</v>
      </c>
      <c r="I653" s="652">
        <f>SUM(H653-H652)/H653</f>
        <v>0.41227464396531149</v>
      </c>
    </row>
    <row r="654" spans="1:10" ht="13.5" thickTop="1">
      <c r="A654" s="414"/>
      <c r="B654" s="24"/>
      <c r="C654" s="24"/>
      <c r="D654" s="24"/>
      <c r="E654" s="66"/>
      <c r="F654" s="43"/>
      <c r="G654" s="24" t="s">
        <v>507</v>
      </c>
      <c r="H654" s="50">
        <v>959.15</v>
      </c>
      <c r="I654" s="652">
        <f t="shared" ref="I654:I656" si="42">SUM(H654-H653)/H654</f>
        <v>-2.276077777198561</v>
      </c>
      <c r="J654" s="17" t="s">
        <v>504</v>
      </c>
    </row>
    <row r="655" spans="1:10">
      <c r="A655" s="313" t="s">
        <v>427</v>
      </c>
      <c r="B655" s="43">
        <v>500</v>
      </c>
      <c r="C655" s="112"/>
      <c r="D655" s="43">
        <f>3000-130-500</f>
        <v>2370</v>
      </c>
      <c r="E655" s="66" t="s">
        <v>212</v>
      </c>
      <c r="F655" s="43"/>
      <c r="G655" s="24" t="s">
        <v>508</v>
      </c>
      <c r="H655" s="50">
        <v>1765.03</v>
      </c>
      <c r="I655" s="652">
        <f t="shared" si="42"/>
        <v>0.45658147453584358</v>
      </c>
    </row>
    <row r="656" spans="1:10">
      <c r="A656" s="313" t="s">
        <v>428</v>
      </c>
      <c r="B656" s="43">
        <f>60.61+41.16+31.98</f>
        <v>133.75</v>
      </c>
      <c r="C656" s="112"/>
      <c r="D656" s="43">
        <v>130</v>
      </c>
      <c r="E656" s="66" t="s">
        <v>944</v>
      </c>
      <c r="F656" s="43"/>
      <c r="G656" s="45" t="s">
        <v>509</v>
      </c>
      <c r="H656" s="22">
        <v>1315.17</v>
      </c>
      <c r="I656" s="652">
        <f t="shared" si="42"/>
        <v>-0.34205463932419372</v>
      </c>
    </row>
    <row r="657" spans="1:10">
      <c r="A657" s="470" t="s">
        <v>647</v>
      </c>
      <c r="B657" s="42">
        <f>1569.06+192.07+21.61</f>
        <v>1782.7399999999998</v>
      </c>
      <c r="C657" s="112"/>
      <c r="D657" s="43">
        <v>500</v>
      </c>
      <c r="E657" s="66" t="s">
        <v>991</v>
      </c>
      <c r="F657" s="43"/>
      <c r="G657" s="45" t="s">
        <v>587</v>
      </c>
      <c r="H657" s="22">
        <f>AVERAGE(H652:H656)</f>
        <v>1805.6759999999999</v>
      </c>
      <c r="I657" s="28"/>
    </row>
    <row r="658" spans="1:10" ht="13.5" thickBot="1">
      <c r="A658" s="443" t="s">
        <v>218</v>
      </c>
      <c r="B658" s="101">
        <f>SUM(B655:B657)</f>
        <v>2416.4899999999998</v>
      </c>
      <c r="C658" s="44"/>
      <c r="D658" s="24"/>
      <c r="E658" s="305"/>
      <c r="F658" s="43"/>
      <c r="G658" s="24"/>
      <c r="H658" s="22"/>
      <c r="I658" s="28"/>
    </row>
    <row r="659" spans="1:10" ht="13.5" thickTop="1">
      <c r="A659" s="443"/>
      <c r="B659" s="43"/>
      <c r="C659" s="24"/>
      <c r="D659" s="24"/>
      <c r="E659" s="66"/>
      <c r="F659" s="43"/>
      <c r="G659" s="570" t="s">
        <v>599</v>
      </c>
      <c r="H659" s="50">
        <f>+B658</f>
        <v>2416.4899999999998</v>
      </c>
      <c r="I659" s="655">
        <f>SUM(H659-H656)/H659</f>
        <v>0.45575193772786138</v>
      </c>
    </row>
    <row r="660" spans="1:10">
      <c r="A660" s="313" t="s">
        <v>407</v>
      </c>
      <c r="B660" s="32">
        <f>+B653-B658</f>
        <v>583.51000000000022</v>
      </c>
      <c r="C660" s="442"/>
      <c r="D660" s="43"/>
      <c r="E660" s="66"/>
      <c r="F660" s="43"/>
      <c r="H660" s="22"/>
      <c r="I660" s="28"/>
    </row>
    <row r="661" spans="1:10" ht="13.5" thickBot="1">
      <c r="A661" s="294" t="str">
        <f>+'YE Projections'!$F$3</f>
        <v>6/30/2024 Projection</v>
      </c>
      <c r="B661" s="101">
        <f>+B658+B660</f>
        <v>3000</v>
      </c>
      <c r="C661" s="24"/>
      <c r="D661" s="24"/>
      <c r="E661" s="66"/>
      <c r="F661" s="43"/>
      <c r="H661" s="22"/>
      <c r="I661" s="28"/>
    </row>
    <row r="662" spans="1:10" ht="14.25" thickTop="1" thickBot="1">
      <c r="A662" s="449"/>
      <c r="B662" s="301"/>
      <c r="C662" s="301"/>
      <c r="D662" s="301"/>
      <c r="E662" s="299"/>
      <c r="F662" s="43"/>
      <c r="H662" s="22"/>
      <c r="I662" s="28"/>
    </row>
    <row r="663" spans="1:10" ht="13.5" thickBot="1">
      <c r="A663" s="454"/>
      <c r="B663" s="43"/>
      <c r="C663" s="2"/>
      <c r="D663" s="2"/>
      <c r="E663" s="24"/>
      <c r="F663" s="43"/>
      <c r="H663" s="22"/>
      <c r="I663" s="28"/>
    </row>
    <row r="664" spans="1:10">
      <c r="A664" s="1080" t="s">
        <v>69</v>
      </c>
      <c r="B664" s="1081"/>
      <c r="C664" s="1081"/>
      <c r="D664" s="1081"/>
      <c r="E664" s="1082"/>
      <c r="F664" s="70"/>
      <c r="G664" s="45" t="s">
        <v>501</v>
      </c>
      <c r="H664" s="50" t="s">
        <v>69</v>
      </c>
      <c r="I664" s="465"/>
    </row>
    <row r="665" spans="1:10">
      <c r="A665" s="482"/>
      <c r="B665" s="24"/>
      <c r="C665" s="70"/>
      <c r="D665" s="110"/>
      <c r="E665" s="380"/>
      <c r="G665" s="24" t="s">
        <v>505</v>
      </c>
      <c r="H665" s="50">
        <v>959.92</v>
      </c>
      <c r="I665" s="17" t="s">
        <v>671</v>
      </c>
    </row>
    <row r="666" spans="1:10" ht="13.5" thickBot="1">
      <c r="A666" s="443" t="str">
        <f>+'YE Projections'!$G$3</f>
        <v>FY 23-24 Budget</v>
      </c>
      <c r="B666" s="101">
        <f>+'YE Projections'!G82</f>
        <v>2500</v>
      </c>
      <c r="C666" s="44" t="str">
        <f>+$C$3</f>
        <v>FY 24-25 Proposed</v>
      </c>
      <c r="D666" s="111">
        <f>SUM(D668:D676)</f>
        <v>2500</v>
      </c>
      <c r="E666" s="977">
        <f>SUM(D666-B666)/B666</f>
        <v>0</v>
      </c>
      <c r="G666" s="24" t="s">
        <v>506</v>
      </c>
      <c r="H666" s="50">
        <v>573.17999999999995</v>
      </c>
      <c r="I666" s="652">
        <f>SUM(H666-H665)/H666</f>
        <v>-0.6747269618618934</v>
      </c>
      <c r="J666" s="17" t="s">
        <v>504</v>
      </c>
    </row>
    <row r="667" spans="1:10" ht="13.5" thickTop="1">
      <c r="A667" s="414"/>
      <c r="B667" s="24"/>
      <c r="C667" s="24"/>
      <c r="D667" s="24"/>
      <c r="E667" s="66"/>
      <c r="G667" s="24" t="s">
        <v>507</v>
      </c>
      <c r="H667" s="50">
        <v>757.85</v>
      </c>
      <c r="I667" s="652">
        <f t="shared" ref="I667:I669" si="43">SUM(H667-H666)/H667</f>
        <v>0.24367618921950263</v>
      </c>
    </row>
    <row r="668" spans="1:10">
      <c r="A668" s="470" t="s">
        <v>428</v>
      </c>
      <c r="B668" s="42">
        <f>93.28+53.88+37.11+54.97</f>
        <v>239.23999999999998</v>
      </c>
      <c r="C668" s="112"/>
      <c r="D668" s="43">
        <v>2500</v>
      </c>
      <c r="E668" s="66" t="s">
        <v>212</v>
      </c>
      <c r="F668" s="32"/>
      <c r="G668" s="24" t="s">
        <v>508</v>
      </c>
      <c r="H668" s="50">
        <v>1305.08</v>
      </c>
      <c r="I668" s="652">
        <f t="shared" si="43"/>
        <v>0.41930762865111715</v>
      </c>
    </row>
    <row r="669" spans="1:10">
      <c r="A669" s="470" t="s">
        <v>648</v>
      </c>
      <c r="B669" s="42">
        <v>192.07</v>
      </c>
      <c r="C669" s="112"/>
      <c r="D669" s="43"/>
      <c r="E669" s="335"/>
      <c r="F669" s="32"/>
      <c r="G669" s="45" t="s">
        <v>509</v>
      </c>
      <c r="H669" s="22">
        <v>732.77</v>
      </c>
      <c r="I669" s="652">
        <f t="shared" si="43"/>
        <v>-0.78102269470638808</v>
      </c>
    </row>
    <row r="670" spans="1:10">
      <c r="C670" s="24"/>
      <c r="D670" s="24"/>
      <c r="E670" s="66"/>
      <c r="F670" s="24"/>
      <c r="G670" s="45" t="s">
        <v>587</v>
      </c>
      <c r="H670" s="22">
        <f>AVERAGE(H665:H669)</f>
        <v>865.75999999999988</v>
      </c>
      <c r="I670" s="17"/>
    </row>
    <row r="671" spans="1:10">
      <c r="A671" s="313"/>
      <c r="B671" s="42"/>
      <c r="C671" s="24"/>
      <c r="D671" s="24"/>
      <c r="E671" s="66"/>
      <c r="F671" s="24"/>
      <c r="G671" s="24"/>
      <c r="H671" s="22"/>
      <c r="I671" s="17"/>
    </row>
    <row r="672" spans="1:10" ht="13.5" thickBot="1">
      <c r="A672" s="443" t="s">
        <v>218</v>
      </c>
      <c r="B672" s="101">
        <f>SUM(B668:B671)</f>
        <v>431.30999999999995</v>
      </c>
      <c r="C672" s="442"/>
      <c r="D672" s="24" t="s">
        <v>578</v>
      </c>
      <c r="E672" s="66"/>
      <c r="F672" s="24"/>
      <c r="G672" s="570" t="s">
        <v>599</v>
      </c>
      <c r="H672" s="50">
        <f>+B672</f>
        <v>431.30999999999995</v>
      </c>
      <c r="I672" s="655">
        <f>SUM(H672-H669)/H672</f>
        <v>-0.69894043727249555</v>
      </c>
    </row>
    <row r="673" spans="1:9" ht="13.5" thickTop="1">
      <c r="A673" s="414"/>
      <c r="B673" s="24"/>
      <c r="C673" s="24"/>
      <c r="D673" s="24" t="s">
        <v>577</v>
      </c>
      <c r="E673" s="66"/>
      <c r="F673" s="24"/>
      <c r="H673" s="22"/>
      <c r="I673" s="28"/>
    </row>
    <row r="674" spans="1:9">
      <c r="A674" s="313" t="s">
        <v>407</v>
      </c>
      <c r="B674" s="32">
        <f>+H670-B672</f>
        <v>434.44999999999993</v>
      </c>
      <c r="C674" s="24"/>
      <c r="D674" s="24"/>
      <c r="E674" s="66"/>
      <c r="F674" s="24"/>
      <c r="H674" s="22"/>
      <c r="I674" s="28"/>
    </row>
    <row r="675" spans="1:9" ht="13.5" thickBot="1">
      <c r="A675" s="294" t="str">
        <f>+'YE Projections'!$F$3</f>
        <v>6/30/2024 Projection</v>
      </c>
      <c r="B675" s="101">
        <f>+B674+B672</f>
        <v>865.75999999999988</v>
      </c>
      <c r="C675" s="24"/>
      <c r="D675" s="24"/>
      <c r="E675" s="66"/>
      <c r="F675" s="24"/>
      <c r="H675" s="22"/>
      <c r="I675" s="28"/>
    </row>
    <row r="676" spans="1:9" ht="14.25" thickTop="1" thickBot="1">
      <c r="A676" s="449"/>
      <c r="B676" s="301"/>
      <c r="C676" s="301"/>
      <c r="D676" s="301"/>
      <c r="E676" s="299"/>
      <c r="F676" s="24"/>
      <c r="G676" s="24"/>
      <c r="H676" s="22"/>
      <c r="I676" s="28"/>
    </row>
  </sheetData>
  <sortState xmlns:xlrd2="http://schemas.microsoft.com/office/spreadsheetml/2017/richdata2" ref="C267:E276">
    <sortCondition ref="C267:C276"/>
  </sortState>
  <mergeCells count="53">
    <mergeCell ref="A352:E352"/>
    <mergeCell ref="A193:E193"/>
    <mergeCell ref="A368:E368"/>
    <mergeCell ref="A291:E291"/>
    <mergeCell ref="A302:E302"/>
    <mergeCell ref="A312:E312"/>
    <mergeCell ref="A328:E328"/>
    <mergeCell ref="A340:E340"/>
    <mergeCell ref="A241:E241"/>
    <mergeCell ref="A253:E253"/>
    <mergeCell ref="A263:E263"/>
    <mergeCell ref="A279:E279"/>
    <mergeCell ref="A195:E195"/>
    <mergeCell ref="A206:E206"/>
    <mergeCell ref="A221:E221"/>
    <mergeCell ref="A231:E231"/>
    <mergeCell ref="A1:E1"/>
    <mergeCell ref="A10:E10"/>
    <mergeCell ref="A24:E24"/>
    <mergeCell ref="A39:E39"/>
    <mergeCell ref="A55:E55"/>
    <mergeCell ref="A68:E68"/>
    <mergeCell ref="A105:E105"/>
    <mergeCell ref="A117:E117"/>
    <mergeCell ref="A130:E130"/>
    <mergeCell ref="A183:E183"/>
    <mergeCell ref="A82:E82"/>
    <mergeCell ref="A95:E95"/>
    <mergeCell ref="A151:E151"/>
    <mergeCell ref="A161:E161"/>
    <mergeCell ref="A172:E172"/>
    <mergeCell ref="A664:E664"/>
    <mergeCell ref="A558:E558"/>
    <mergeCell ref="A571:E571"/>
    <mergeCell ref="A582:E582"/>
    <mergeCell ref="A597:E597"/>
    <mergeCell ref="A618:E618"/>
    <mergeCell ref="A630:E630"/>
    <mergeCell ref="A639:E639"/>
    <mergeCell ref="A651:E651"/>
    <mergeCell ref="A544:E544"/>
    <mergeCell ref="A447:E447"/>
    <mergeCell ref="A458:E458"/>
    <mergeCell ref="A471:E471"/>
    <mergeCell ref="A483:E483"/>
    <mergeCell ref="A496:E496"/>
    <mergeCell ref="A386:E386"/>
    <mergeCell ref="A408:E408"/>
    <mergeCell ref="A510:E510"/>
    <mergeCell ref="A521:E521"/>
    <mergeCell ref="A532:E532"/>
    <mergeCell ref="A422:E422"/>
    <mergeCell ref="A436:E436"/>
  </mergeCells>
  <printOptions horizontalCentered="1"/>
  <pageMargins left="0.2" right="0.2" top="1" bottom="0.25" header="0.3" footer="0.3"/>
  <pageSetup scale="7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G70"/>
  <sheetViews>
    <sheetView workbookViewId="0">
      <selection activeCell="J29" sqref="J29"/>
    </sheetView>
  </sheetViews>
  <sheetFormatPr defaultColWidth="8.88671875" defaultRowHeight="15"/>
  <cols>
    <col min="1" max="1" width="26.5546875" style="2" customWidth="1"/>
    <col min="2" max="2" width="12.44140625" style="2" customWidth="1"/>
    <col min="3" max="3" width="5.5546875" style="2" customWidth="1"/>
    <col min="4" max="4" width="20.21875" style="2" bestFit="1" customWidth="1"/>
    <col min="5" max="5" width="11.21875" style="49" customWidth="1"/>
    <col min="6" max="6" width="13.88671875" customWidth="1"/>
    <col min="7" max="16384" width="8.88671875" style="2"/>
  </cols>
  <sheetData>
    <row r="1" spans="1:6">
      <c r="A1" s="1080" t="s">
        <v>217</v>
      </c>
      <c r="B1" s="1085"/>
      <c r="C1" s="1085"/>
      <c r="D1" s="1085"/>
      <c r="E1" s="1086"/>
    </row>
    <row r="2" spans="1:6">
      <c r="A2" s="114"/>
      <c r="B2" s="113"/>
      <c r="C2" s="113"/>
      <c r="D2" s="24"/>
      <c r="E2" s="322"/>
    </row>
    <row r="3" spans="1:6" ht="15.75" thickBot="1">
      <c r="A3" s="398" t="str">
        <f>+'YE Projections'!G3</f>
        <v>FY 23-24 Budget</v>
      </c>
      <c r="B3" s="393">
        <f>+'YE Projections'!G102</f>
        <v>20000</v>
      </c>
      <c r="C3" s="32"/>
      <c r="D3" s="44" t="str">
        <f>+'YE Projections'!I3</f>
        <v>FY 24-25 Proposed</v>
      </c>
      <c r="E3" s="323">
        <f>SUM(E6:E16)</f>
        <v>40000</v>
      </c>
    </row>
    <row r="4" spans="1:6" ht="15.75" thickTop="1">
      <c r="A4" s="412" t="s">
        <v>584</v>
      </c>
      <c r="B4" s="595"/>
      <c r="C4" s="32"/>
      <c r="D4" s="44"/>
      <c r="E4" s="324"/>
    </row>
    <row r="5" spans="1:6">
      <c r="A5" s="384" t="s">
        <v>319</v>
      </c>
      <c r="B5" s="396">
        <v>15000</v>
      </c>
      <c r="C5" s="32"/>
      <c r="D5" s="24"/>
      <c r="E5" s="322"/>
    </row>
    <row r="6" spans="1:6">
      <c r="A6" s="404" t="s">
        <v>334</v>
      </c>
      <c r="B6" s="405">
        <v>5000</v>
      </c>
      <c r="C6" s="32"/>
      <c r="D6" s="24"/>
      <c r="E6" s="322"/>
    </row>
    <row r="7" spans="1:6">
      <c r="A7" s="61"/>
      <c r="B7" s="32"/>
      <c r="C7" s="32"/>
      <c r="D7" s="24"/>
      <c r="E7" s="322"/>
    </row>
    <row r="8" spans="1:6">
      <c r="A8" s="594" t="s">
        <v>585</v>
      </c>
      <c r="B8" s="24"/>
      <c r="C8" s="32"/>
      <c r="D8" s="24" t="s">
        <v>319</v>
      </c>
      <c r="E8" s="322">
        <v>40000</v>
      </c>
    </row>
    <row r="9" spans="1:6">
      <c r="A9" s="651" t="s">
        <v>657</v>
      </c>
      <c r="B9" s="32">
        <v>199.99</v>
      </c>
      <c r="C9" s="32"/>
      <c r="D9" s="24"/>
      <c r="E9" s="66"/>
    </row>
    <row r="10" spans="1:6">
      <c r="A10" s="651" t="s">
        <v>656</v>
      </c>
      <c r="B10" s="43">
        <v>749.99</v>
      </c>
      <c r="C10" s="32"/>
      <c r="D10" s="24"/>
      <c r="E10" s="574"/>
    </row>
    <row r="11" spans="1:6">
      <c r="A11" s="295" t="s">
        <v>737</v>
      </c>
      <c r="B11" s="43">
        <v>4419.88</v>
      </c>
      <c r="C11" s="32"/>
      <c r="D11" s="24"/>
      <c r="E11" s="322"/>
    </row>
    <row r="12" spans="1:6">
      <c r="A12" s="295" t="s">
        <v>968</v>
      </c>
      <c r="B12" s="43">
        <v>899</v>
      </c>
      <c r="C12" s="24"/>
      <c r="D12" s="103"/>
      <c r="E12" s="328"/>
      <c r="F12" s="102"/>
    </row>
    <row r="13" spans="1:6" ht="15.75" thickBot="1">
      <c r="A13" s="384" t="s">
        <v>318</v>
      </c>
      <c r="B13" s="111">
        <f>SUM(B9:B12)</f>
        <v>6268.8600000000006</v>
      </c>
      <c r="C13" s="24"/>
      <c r="D13" s="103"/>
      <c r="E13" s="328"/>
      <c r="F13" s="102"/>
    </row>
    <row r="14" spans="1:6" ht="15.75" thickTop="1">
      <c r="A14" s="384"/>
      <c r="B14" s="32"/>
      <c r="C14" s="24"/>
      <c r="D14" s="103"/>
      <c r="E14" s="328"/>
      <c r="F14" s="102"/>
    </row>
    <row r="15" spans="1:6">
      <c r="A15" s="295" t="s">
        <v>405</v>
      </c>
      <c r="B15" s="43"/>
      <c r="C15" s="24"/>
      <c r="D15" s="24"/>
      <c r="E15" s="322"/>
    </row>
    <row r="16" spans="1:6" ht="15.75" thickBot="1">
      <c r="A16" s="295" t="s">
        <v>583</v>
      </c>
      <c r="B16" s="111">
        <f>+B15+B13</f>
        <v>6268.8600000000006</v>
      </c>
      <c r="C16" s="24"/>
      <c r="D16" s="24"/>
      <c r="E16" s="319"/>
    </row>
    <row r="17" spans="1:6" ht="16.5" thickTop="1" thickBot="1">
      <c r="A17" s="296"/>
      <c r="B17" s="307"/>
      <c r="C17" s="301"/>
      <c r="D17" s="301"/>
      <c r="E17" s="406"/>
    </row>
    <row r="18" spans="1:6" ht="15.75" thickBot="1"/>
    <row r="19" spans="1:6">
      <c r="A19" s="1080" t="s">
        <v>70</v>
      </c>
      <c r="B19" s="1085"/>
      <c r="C19" s="1085"/>
      <c r="D19" s="1085"/>
      <c r="E19" s="1086"/>
    </row>
    <row r="20" spans="1:6" ht="12.75">
      <c r="A20" s="61"/>
      <c r="B20" s="24"/>
      <c r="C20" s="24"/>
      <c r="D20" s="24"/>
      <c r="E20" s="322"/>
      <c r="F20" s="2"/>
    </row>
    <row r="21" spans="1:6" ht="15.75" thickBot="1">
      <c r="A21" s="631" t="str">
        <f>+A3</f>
        <v>FY 23-24 Budget</v>
      </c>
      <c r="B21" s="111">
        <f>+'YE Projections'!G103</f>
        <v>15000</v>
      </c>
      <c r="C21" s="32"/>
      <c r="D21" s="44" t="str">
        <f>+D3</f>
        <v>FY 24-25 Proposed</v>
      </c>
      <c r="E21" s="326">
        <f>SUM(E24:E29)</f>
        <v>15000</v>
      </c>
    </row>
    <row r="22" spans="1:6" ht="15.75" thickTop="1">
      <c r="A22" s="631"/>
      <c r="B22" s="32"/>
      <c r="C22" s="32"/>
      <c r="D22" s="44"/>
      <c r="E22" s="322"/>
    </row>
    <row r="23" spans="1:6">
      <c r="A23" s="594" t="str">
        <f>+A8</f>
        <v>Actual Expenses FY 2023-2024</v>
      </c>
      <c r="B23" s="109"/>
      <c r="C23" s="24"/>
      <c r="D23" s="24"/>
      <c r="E23" s="66"/>
    </row>
    <row r="24" spans="1:6">
      <c r="A24" s="25" t="s">
        <v>658</v>
      </c>
      <c r="B24" s="43">
        <v>817.95</v>
      </c>
      <c r="C24" s="32"/>
      <c r="D24" s="44" t="s">
        <v>453</v>
      </c>
      <c r="E24" s="322">
        <v>15000</v>
      </c>
    </row>
    <row r="25" spans="1:6">
      <c r="A25" s="295"/>
      <c r="B25" s="43"/>
      <c r="C25" s="32"/>
      <c r="D25" s="24"/>
      <c r="E25" s="66"/>
    </row>
    <row r="26" spans="1:6" ht="15.75" thickBot="1">
      <c r="A26" s="295" t="s">
        <v>318</v>
      </c>
      <c r="B26" s="306">
        <f>SUM(B24:B25)</f>
        <v>817.95</v>
      </c>
      <c r="C26" s="24"/>
      <c r="D26" s="340"/>
      <c r="E26" s="322"/>
    </row>
    <row r="27" spans="1:6" ht="15.75" thickTop="1">
      <c r="A27" s="61"/>
      <c r="B27" s="24"/>
      <c r="C27" s="45"/>
      <c r="D27" s="340"/>
      <c r="E27" s="322"/>
    </row>
    <row r="28" spans="1:6">
      <c r="A28" s="295" t="str">
        <f>+A15</f>
        <v>Anticipated</v>
      </c>
      <c r="B28" s="24"/>
      <c r="C28" s="45"/>
      <c r="D28" s="340"/>
      <c r="E28" s="322"/>
    </row>
    <row r="29" spans="1:6" ht="15.75" thickBot="1">
      <c r="A29" s="295" t="str">
        <f>+A16</f>
        <v>6/30/2024 Projection</v>
      </c>
      <c r="B29" s="111">
        <f>+B26+B28</f>
        <v>817.95</v>
      </c>
      <c r="C29" s="45"/>
      <c r="D29" s="340"/>
      <c r="E29" s="322"/>
    </row>
    <row r="30" spans="1:6" ht="16.5" thickTop="1" thickBot="1">
      <c r="A30" s="304"/>
      <c r="B30" s="327"/>
      <c r="C30" s="327"/>
      <c r="D30" s="298"/>
      <c r="E30" s="325"/>
    </row>
    <row r="31" spans="1:6" ht="15.75" thickBot="1">
      <c r="A31" s="3"/>
      <c r="B31" s="3"/>
      <c r="C31" s="3"/>
      <c r="D31" s="44"/>
    </row>
    <row r="32" spans="1:6">
      <c r="A32" s="1080" t="s">
        <v>71</v>
      </c>
      <c r="B32" s="1085"/>
      <c r="C32" s="1085"/>
      <c r="D32" s="1085"/>
      <c r="E32" s="1086"/>
    </row>
    <row r="33" spans="1:5">
      <c r="A33" s="61"/>
      <c r="B33" s="24"/>
      <c r="C33" s="24"/>
      <c r="D33" s="24"/>
      <c r="E33" s="322"/>
    </row>
    <row r="34" spans="1:5" ht="15.75" thickBot="1">
      <c r="A34" s="384" t="str">
        <f>+A3</f>
        <v>FY 23-24 Budget</v>
      </c>
      <c r="B34" s="111">
        <f>+'YE Projections'!G104</f>
        <v>1000</v>
      </c>
      <c r="C34" s="32"/>
      <c r="D34" s="44" t="str">
        <f>+D3</f>
        <v>FY 24-25 Proposed</v>
      </c>
      <c r="E34" s="323">
        <f>SUM(E36:E40)</f>
        <v>1000</v>
      </c>
    </row>
    <row r="35" spans="1:5" ht="15.75" thickTop="1">
      <c r="A35" s="384"/>
      <c r="B35" s="413"/>
      <c r="C35" s="32"/>
      <c r="D35" s="44"/>
      <c r="E35" s="324"/>
    </row>
    <row r="36" spans="1:5">
      <c r="C36" s="32"/>
      <c r="D36" s="44" t="s">
        <v>453</v>
      </c>
      <c r="E36" s="324">
        <v>1000</v>
      </c>
    </row>
    <row r="37" spans="1:5" ht="15.75" thickBot="1">
      <c r="A37" s="295" t="s">
        <v>318</v>
      </c>
      <c r="B37" s="101">
        <f>SUM(B35:B36)</f>
        <v>0</v>
      </c>
      <c r="C37" s="32"/>
      <c r="D37" s="44"/>
      <c r="E37" s="324"/>
    </row>
    <row r="38" spans="1:5" ht="15.75" thickTop="1">
      <c r="A38" s="295"/>
      <c r="B38" s="43"/>
      <c r="C38" s="32"/>
      <c r="D38" s="44"/>
      <c r="E38" s="324"/>
    </row>
    <row r="39" spans="1:5">
      <c r="A39" s="295" t="s">
        <v>405</v>
      </c>
      <c r="B39" s="24"/>
      <c r="C39" s="24"/>
      <c r="E39" s="324"/>
    </row>
    <row r="40" spans="1:5" ht="15.75" thickBot="1">
      <c r="A40" s="295" t="str">
        <f>+A16</f>
        <v>6/30/2024 Projection</v>
      </c>
      <c r="B40" s="111">
        <f>+B37</f>
        <v>0</v>
      </c>
      <c r="C40" s="24"/>
      <c r="D40" s="24"/>
      <c r="E40" s="322"/>
    </row>
    <row r="41" spans="1:5" ht="16.5" thickTop="1" thickBot="1">
      <c r="A41" s="296"/>
      <c r="B41" s="307"/>
      <c r="C41" s="301"/>
      <c r="D41" s="301"/>
      <c r="E41" s="325"/>
    </row>
    <row r="42" spans="1:5" ht="15.75" thickBot="1"/>
    <row r="43" spans="1:5">
      <c r="A43" s="1080" t="s">
        <v>72</v>
      </c>
      <c r="B43" s="1085"/>
      <c r="C43" s="1085"/>
      <c r="D43" s="1085"/>
      <c r="E43" s="1086"/>
    </row>
    <row r="44" spans="1:5">
      <c r="A44" s="61"/>
      <c r="B44" s="24"/>
      <c r="C44" s="24"/>
      <c r="D44" s="24"/>
      <c r="E44" s="322"/>
    </row>
    <row r="45" spans="1:5" ht="15.75" thickBot="1">
      <c r="A45" s="398" t="str">
        <f>+A3</f>
        <v>FY 23-24 Budget</v>
      </c>
      <c r="B45" s="393">
        <f>+'YE Projections'!G105</f>
        <v>95000</v>
      </c>
      <c r="C45" s="32"/>
      <c r="D45" s="44" t="str">
        <f>+D3</f>
        <v>FY 24-25 Proposed</v>
      </c>
      <c r="E45" s="326">
        <f>SUM(E47:E60)</f>
        <v>190000</v>
      </c>
    </row>
    <row r="46" spans="1:5" ht="15.75" thickTop="1">
      <c r="A46" s="412" t="str">
        <f>+A4</f>
        <v>Budgeted Expense FY 23-24</v>
      </c>
      <c r="B46" s="396"/>
      <c r="C46" s="24"/>
      <c r="D46" s="24"/>
      <c r="E46" s="322"/>
    </row>
    <row r="47" spans="1:5">
      <c r="A47" s="295" t="s">
        <v>320</v>
      </c>
      <c r="B47" s="394">
        <v>13000</v>
      </c>
      <c r="C47" s="24"/>
      <c r="D47" s="24" t="s">
        <v>320</v>
      </c>
      <c r="E47" s="305">
        <v>13000</v>
      </c>
    </row>
    <row r="48" spans="1:5">
      <c r="A48" s="295" t="s">
        <v>156</v>
      </c>
      <c r="B48" s="394">
        <v>40000</v>
      </c>
      <c r="C48" s="24"/>
      <c r="D48" s="24" t="s">
        <v>958</v>
      </c>
      <c r="E48" s="322">
        <v>40000</v>
      </c>
    </row>
    <row r="49" spans="1:7" ht="12.75">
      <c r="A49" s="313" t="s">
        <v>155</v>
      </c>
      <c r="B49" s="397">
        <v>10000</v>
      </c>
      <c r="C49" s="24"/>
      <c r="D49" s="24" t="s">
        <v>156</v>
      </c>
      <c r="E49" s="305">
        <v>40000</v>
      </c>
      <c r="F49" s="2"/>
      <c r="G49" s="1040"/>
    </row>
    <row r="50" spans="1:7" ht="12.75">
      <c r="A50" s="295" t="s">
        <v>154</v>
      </c>
      <c r="B50" s="394">
        <v>22000</v>
      </c>
      <c r="C50" s="24"/>
      <c r="D50" s="24" t="s">
        <v>155</v>
      </c>
      <c r="E50" s="305">
        <v>10000</v>
      </c>
      <c r="F50" s="2"/>
      <c r="G50" s="1040"/>
    </row>
    <row r="51" spans="1:7" ht="12.75">
      <c r="A51" s="295" t="s">
        <v>153</v>
      </c>
      <c r="B51" s="397">
        <v>10000</v>
      </c>
      <c r="C51" s="24"/>
      <c r="D51" s="24" t="s">
        <v>154</v>
      </c>
      <c r="E51" s="305">
        <v>22000</v>
      </c>
      <c r="F51" s="2"/>
      <c r="G51" s="576"/>
    </row>
    <row r="52" spans="1:7">
      <c r="A52" s="404"/>
      <c r="B52" s="395"/>
      <c r="C52" s="24"/>
      <c r="D52" s="24" t="s">
        <v>959</v>
      </c>
      <c r="E52" s="322">
        <v>5000</v>
      </c>
    </row>
    <row r="53" spans="1:7">
      <c r="A53" s="61"/>
      <c r="B53" s="24"/>
      <c r="C53" s="109"/>
      <c r="D53" s="24" t="s">
        <v>153</v>
      </c>
      <c r="E53" s="305">
        <v>10000</v>
      </c>
      <c r="F53" s="100"/>
    </row>
    <row r="54" spans="1:7">
      <c r="A54" s="562" t="str">
        <f>+A8</f>
        <v>Actual Expenses FY 2023-2024</v>
      </c>
      <c r="B54" s="24"/>
      <c r="C54" s="109"/>
      <c r="D54" s="471" t="s">
        <v>1043</v>
      </c>
      <c r="E54" s="322">
        <v>50000</v>
      </c>
      <c r="F54" s="100"/>
    </row>
    <row r="55" spans="1:7">
      <c r="A55" s="399"/>
      <c r="B55" s="109"/>
      <c r="C55" s="24"/>
      <c r="D55" s="24"/>
      <c r="E55" s="322"/>
    </row>
    <row r="56" spans="1:7" ht="15.75" thickBot="1">
      <c r="A56" s="295" t="s">
        <v>318</v>
      </c>
      <c r="B56" s="111">
        <f>SUM(B55:B55)</f>
        <v>0</v>
      </c>
      <c r="C56" s="24"/>
      <c r="D56" s="24"/>
      <c r="E56" s="322"/>
    </row>
    <row r="57" spans="1:7" ht="15.75" thickTop="1">
      <c r="A57" s="61"/>
      <c r="B57" s="24"/>
      <c r="C57" s="24"/>
      <c r="D57" s="24"/>
      <c r="E57" s="66"/>
    </row>
    <row r="58" spans="1:7">
      <c r="A58" s="295" t="s">
        <v>405</v>
      </c>
      <c r="B58" s="43"/>
      <c r="C58" s="24"/>
      <c r="D58" s="24"/>
      <c r="E58" s="322"/>
    </row>
    <row r="59" spans="1:7" ht="15.75" thickBot="1">
      <c r="A59" s="295" t="str">
        <f>+A16</f>
        <v>6/30/2024 Projection</v>
      </c>
      <c r="B59" s="111">
        <f>+B56+B58</f>
        <v>0</v>
      </c>
      <c r="C59" s="24"/>
      <c r="D59" s="24"/>
      <c r="E59" s="322"/>
    </row>
    <row r="60" spans="1:7" ht="16.5" thickTop="1" thickBot="1">
      <c r="A60" s="300"/>
      <c r="B60" s="301"/>
      <c r="C60" s="301"/>
      <c r="D60" s="301"/>
      <c r="E60" s="325"/>
    </row>
    <row r="61" spans="1:7" ht="15.75" thickBot="1"/>
    <row r="62" spans="1:7">
      <c r="A62" s="1080" t="s">
        <v>374</v>
      </c>
      <c r="B62" s="1085"/>
      <c r="C62" s="1085"/>
      <c r="D62" s="1085"/>
      <c r="E62" s="1086"/>
    </row>
    <row r="63" spans="1:7" ht="12.75">
      <c r="A63" s="61"/>
      <c r="B63" s="24"/>
      <c r="C63" s="24"/>
      <c r="D63" s="24"/>
      <c r="E63" s="322"/>
      <c r="F63" s="2"/>
    </row>
    <row r="64" spans="1:7" ht="15.75" thickBot="1">
      <c r="A64" s="398" t="str">
        <f>+A3</f>
        <v>FY 23-24 Budget</v>
      </c>
      <c r="B64" s="393">
        <v>550000</v>
      </c>
      <c r="C64" s="32"/>
      <c r="D64" s="44" t="str">
        <f>+D3</f>
        <v>FY 24-25 Proposed</v>
      </c>
      <c r="E64" s="326">
        <f>SUM(E67:E68)</f>
        <v>550000</v>
      </c>
      <c r="F64" s="102"/>
    </row>
    <row r="65" spans="1:6" ht="15.75" thickTop="1">
      <c r="A65" s="404" t="s">
        <v>532</v>
      </c>
      <c r="B65" s="408">
        <v>550000</v>
      </c>
      <c r="C65" s="32"/>
      <c r="D65" s="44"/>
      <c r="E65" s="322"/>
      <c r="F65" s="102"/>
    </row>
    <row r="66" spans="1:6" ht="15.75" thickBot="1">
      <c r="A66" s="384"/>
      <c r="B66" s="407"/>
      <c r="C66" s="32"/>
      <c r="D66" s="24"/>
      <c r="E66" s="322"/>
      <c r="F66" s="102"/>
    </row>
    <row r="67" spans="1:6" ht="16.5" thickTop="1" thickBot="1">
      <c r="A67" s="295" t="str">
        <f>+A16</f>
        <v>6/30/2024 Projection</v>
      </c>
      <c r="B67" s="111">
        <v>0</v>
      </c>
      <c r="C67" s="24"/>
      <c r="D67" s="44" t="s">
        <v>532</v>
      </c>
      <c r="E67" s="322">
        <v>550000</v>
      </c>
    </row>
    <row r="68" spans="1:6" ht="16.5" thickTop="1" thickBot="1">
      <c r="A68" s="300"/>
      <c r="B68" s="301"/>
      <c r="C68" s="301"/>
      <c r="D68" s="301"/>
      <c r="E68" s="299"/>
    </row>
    <row r="70" spans="1:6">
      <c r="B70" s="355"/>
    </row>
  </sheetData>
  <sortState xmlns:xlrd2="http://schemas.microsoft.com/office/spreadsheetml/2017/richdata2" ref="D47:E54">
    <sortCondition ref="D47:D54"/>
  </sortState>
  <mergeCells count="5">
    <mergeCell ref="A62:E62"/>
    <mergeCell ref="A32:E32"/>
    <mergeCell ref="A43:E43"/>
    <mergeCell ref="A19:E19"/>
    <mergeCell ref="A1:E1"/>
  </mergeCells>
  <printOptions horizontalCentered="1"/>
  <pageMargins left="0.2" right="0.2" top="0.7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D994670"/>
  <sheetViews>
    <sheetView tabSelected="1" topLeftCell="A4" workbookViewId="0">
      <selection activeCell="M4" sqref="M4"/>
    </sheetView>
  </sheetViews>
  <sheetFormatPr defaultColWidth="6.88671875" defaultRowHeight="12.75"/>
  <cols>
    <col min="1" max="1" width="21.109375" style="2" customWidth="1"/>
    <col min="2" max="2" width="12.21875" style="2" customWidth="1"/>
    <col min="3" max="3" width="12" style="2" customWidth="1"/>
    <col min="4" max="4" width="12.44140625" style="2" customWidth="1"/>
    <col min="5" max="5" width="11" style="2" customWidth="1"/>
    <col min="6" max="6" width="10.33203125" style="2" bestFit="1" customWidth="1"/>
    <col min="7" max="7" width="10.33203125" style="2" customWidth="1"/>
    <col min="8" max="8" width="11" style="2" customWidth="1"/>
    <col min="9" max="9" width="10.5546875" style="2" customWidth="1"/>
    <col min="10" max="10" width="11" style="17" customWidth="1"/>
    <col min="11" max="11" width="9.44140625" style="17" customWidth="1"/>
    <col min="12" max="12" width="12.33203125" style="17" customWidth="1"/>
    <col min="13" max="13" width="10.44140625" style="17" customWidth="1"/>
    <col min="14" max="14" width="8" style="17" bestFit="1" customWidth="1"/>
    <col min="15" max="15" width="9.109375" style="2" customWidth="1"/>
    <col min="16" max="16" width="9" style="2" customWidth="1"/>
    <col min="17" max="17" width="9.21875" style="2" customWidth="1"/>
    <col min="18" max="18" width="8.77734375" style="2" bestFit="1" customWidth="1"/>
    <col min="19" max="19" width="6.88671875" style="2"/>
    <col min="20" max="20" width="8.77734375" style="2" bestFit="1" customWidth="1"/>
    <col min="21" max="16384" width="6.88671875" style="2"/>
  </cols>
  <sheetData>
    <row r="1" spans="1:16" ht="92.25" customHeight="1">
      <c r="A1" s="108" t="s">
        <v>589</v>
      </c>
      <c r="B1" s="935" t="s">
        <v>439</v>
      </c>
      <c r="C1" s="935" t="s">
        <v>440</v>
      </c>
      <c r="D1" s="935" t="s">
        <v>441</v>
      </c>
      <c r="E1" s="935" t="s">
        <v>716</v>
      </c>
      <c r="F1" s="935" t="s">
        <v>639</v>
      </c>
      <c r="G1" s="935" t="s">
        <v>459</v>
      </c>
      <c r="H1" s="936" t="s">
        <v>442</v>
      </c>
      <c r="I1" s="935" t="s">
        <v>443</v>
      </c>
      <c r="J1" s="936" t="s">
        <v>444</v>
      </c>
      <c r="K1" s="936" t="s">
        <v>136</v>
      </c>
      <c r="L1" s="934" t="s">
        <v>125</v>
      </c>
      <c r="O1" s="598"/>
      <c r="P1" s="344"/>
    </row>
    <row r="2" spans="1:16">
      <c r="A2" s="52" t="s">
        <v>126</v>
      </c>
      <c r="B2" s="391">
        <v>2080</v>
      </c>
      <c r="C2" s="392">
        <v>2080</v>
      </c>
      <c r="D2" s="392">
        <v>2080</v>
      </c>
      <c r="E2" s="392">
        <f>12*52</f>
        <v>624</v>
      </c>
      <c r="F2" s="392">
        <f>52*20</f>
        <v>1040</v>
      </c>
      <c r="G2" s="392">
        <v>2080</v>
      </c>
      <c r="H2" s="391">
        <v>2080</v>
      </c>
      <c r="I2" s="392">
        <v>1040</v>
      </c>
      <c r="J2" s="391">
        <v>900</v>
      </c>
      <c r="K2" s="391">
        <v>1416</v>
      </c>
      <c r="L2" s="479">
        <f>SUM(B2:K2)</f>
        <v>15420</v>
      </c>
      <c r="O2" s="17"/>
      <c r="P2" s="598"/>
    </row>
    <row r="3" spans="1:16">
      <c r="A3" s="52" t="s">
        <v>398</v>
      </c>
      <c r="B3" s="391"/>
      <c r="C3" s="392">
        <v>7</v>
      </c>
      <c r="D3" s="392">
        <v>3</v>
      </c>
      <c r="E3" s="392">
        <v>1</v>
      </c>
      <c r="F3" s="392">
        <v>1</v>
      </c>
      <c r="G3" s="392">
        <v>4</v>
      </c>
      <c r="H3" s="391">
        <v>5</v>
      </c>
      <c r="I3" s="392" t="s">
        <v>691</v>
      </c>
      <c r="J3" s="391">
        <v>1</v>
      </c>
      <c r="K3" s="391"/>
      <c r="L3" s="480"/>
      <c r="O3" s="17"/>
      <c r="P3" s="598"/>
    </row>
    <row r="4" spans="1:16">
      <c r="A4" s="52" t="s">
        <v>445</v>
      </c>
      <c r="B4" s="391"/>
      <c r="C4" s="392">
        <v>17</v>
      </c>
      <c r="D4" s="392">
        <v>3</v>
      </c>
      <c r="E4" s="392">
        <v>5</v>
      </c>
      <c r="F4" s="392">
        <v>7</v>
      </c>
      <c r="G4" s="392">
        <v>6</v>
      </c>
      <c r="H4" s="391">
        <v>5</v>
      </c>
      <c r="I4" s="392"/>
      <c r="J4" s="391">
        <v>3</v>
      </c>
      <c r="K4" s="391"/>
      <c r="L4" s="480"/>
      <c r="N4" s="481"/>
      <c r="O4" s="56"/>
      <c r="P4" s="17"/>
    </row>
    <row r="5" spans="1:16">
      <c r="A5" s="54" t="s">
        <v>127</v>
      </c>
      <c r="B5" s="20"/>
      <c r="C5" s="606">
        <f>+M64</f>
        <v>30.711457704130591</v>
      </c>
      <c r="D5" s="606">
        <f>+E56</f>
        <v>18.84</v>
      </c>
      <c r="E5" s="606">
        <f>+G52</f>
        <v>17.79</v>
      </c>
      <c r="F5" s="606">
        <f>+I52</f>
        <v>18.87</v>
      </c>
      <c r="G5" s="606">
        <f>+H58</f>
        <v>21.83</v>
      </c>
      <c r="H5" s="606">
        <f>+G60</f>
        <v>22.43</v>
      </c>
      <c r="I5" s="606">
        <v>32.5</v>
      </c>
      <c r="J5" s="606">
        <f>+E52</f>
        <v>16.77</v>
      </c>
      <c r="K5" s="20">
        <v>14.7</v>
      </c>
      <c r="L5" s="28"/>
    </row>
    <row r="6" spans="1:16">
      <c r="A6" s="54" t="s">
        <v>226</v>
      </c>
      <c r="B6" s="20"/>
      <c r="C6" s="20">
        <f>+B7/2080</f>
        <v>46.115473269230776</v>
      </c>
      <c r="D6" s="20"/>
      <c r="E6" s="20"/>
      <c r="F6" s="20"/>
      <c r="G6" s="20"/>
      <c r="H6" s="20"/>
      <c r="I6" s="20"/>
      <c r="J6" s="22"/>
      <c r="K6" s="20"/>
      <c r="L6" s="28"/>
      <c r="M6" s="481"/>
      <c r="N6" s="28"/>
      <c r="O6" s="17"/>
    </row>
    <row r="7" spans="1:16">
      <c r="A7" s="55" t="s">
        <v>128</v>
      </c>
      <c r="B7" s="643">
        <f>90490.74*1.06</f>
        <v>95920.184400000013</v>
      </c>
      <c r="C7" s="387">
        <f>SUM(C5*2000)+(C6*80)</f>
        <v>65112.153269799644</v>
      </c>
      <c r="D7" s="387">
        <f>SUM(D2*D5)</f>
        <v>39187.199999999997</v>
      </c>
      <c r="E7" s="387">
        <f t="shared" ref="E7:J7" si="0">SUM(E2*E5)</f>
        <v>11100.96</v>
      </c>
      <c r="F7" s="387">
        <f t="shared" si="0"/>
        <v>19624.8</v>
      </c>
      <c r="G7" s="387">
        <f t="shared" si="0"/>
        <v>45406.399999999994</v>
      </c>
      <c r="H7" s="387">
        <f t="shared" si="0"/>
        <v>46654.400000000001</v>
      </c>
      <c r="I7" s="387">
        <f t="shared" si="0"/>
        <v>33800</v>
      </c>
      <c r="J7" s="387">
        <f t="shared" si="0"/>
        <v>15093</v>
      </c>
      <c r="K7" s="387">
        <v>20808</v>
      </c>
      <c r="L7" s="478">
        <f>SUM(B7:K7)</f>
        <v>392707.09766979964</v>
      </c>
      <c r="M7" s="481"/>
      <c r="N7" s="28"/>
      <c r="O7" s="17"/>
    </row>
    <row r="8" spans="1:16">
      <c r="A8" s="295"/>
      <c r="B8" s="387"/>
      <c r="C8" s="387"/>
      <c r="D8" s="387"/>
      <c r="E8" s="387"/>
      <c r="F8" s="387"/>
      <c r="G8" s="387"/>
      <c r="H8" s="388"/>
      <c r="I8" s="387"/>
      <c r="J8" s="388"/>
      <c r="K8" s="388"/>
      <c r="L8" s="478"/>
      <c r="M8" s="481"/>
      <c r="N8" s="28"/>
      <c r="O8" s="17"/>
    </row>
    <row r="9" spans="1:16">
      <c r="A9" s="486" t="s">
        <v>456</v>
      </c>
      <c r="B9" s="387"/>
      <c r="C9" s="387"/>
      <c r="D9" s="387"/>
      <c r="E9" s="387"/>
      <c r="F9" s="387"/>
      <c r="G9" s="387"/>
      <c r="H9" s="388"/>
      <c r="I9" s="387"/>
      <c r="J9" s="388"/>
      <c r="K9" s="388"/>
      <c r="L9" s="478"/>
      <c r="M9" s="481"/>
      <c r="N9" s="28"/>
      <c r="O9" s="17"/>
    </row>
    <row r="10" spans="1:16">
      <c r="A10" s="57" t="s">
        <v>130</v>
      </c>
      <c r="B10" s="19">
        <f t="shared" ref="B10:F10" si="1">ROUND(B7*0.06,2)</f>
        <v>5755.21</v>
      </c>
      <c r="C10" s="19">
        <f t="shared" si="1"/>
        <v>3906.73</v>
      </c>
      <c r="D10" s="19">
        <f t="shared" si="1"/>
        <v>2351.23</v>
      </c>
      <c r="E10" s="19">
        <f t="shared" si="1"/>
        <v>666.06</v>
      </c>
      <c r="F10" s="19">
        <f t="shared" si="1"/>
        <v>1177.49</v>
      </c>
      <c r="G10" s="19">
        <f>ROUND(G7*0.06,2)</f>
        <v>2724.38</v>
      </c>
      <c r="H10" s="19">
        <f>ROUND(H7*0.06,2)</f>
        <v>2799.26</v>
      </c>
      <c r="I10" s="19">
        <f>ROUND(I7*0.06,2)</f>
        <v>2028</v>
      </c>
      <c r="J10" s="20">
        <f>ROUND(J7*0.06,2)</f>
        <v>905.58</v>
      </c>
      <c r="K10" s="36">
        <v>0</v>
      </c>
      <c r="L10" s="478">
        <f t="shared" ref="L10:L19" si="2">SUM(B10:K10)</f>
        <v>22313.940000000002</v>
      </c>
      <c r="M10" s="481"/>
      <c r="N10" s="56"/>
      <c r="O10" s="17"/>
    </row>
    <row r="11" spans="1:16">
      <c r="A11" s="107" t="s">
        <v>693</v>
      </c>
      <c r="B11" s="19">
        <f>ROUND(B7*17.12%,2)</f>
        <v>16421.54</v>
      </c>
      <c r="C11" s="19">
        <f>ROUND(C7*17.12%,2)</f>
        <v>11147.2</v>
      </c>
      <c r="D11" s="19">
        <f t="shared" ref="D11:J11" si="3">ROUND(D7*17.12%,2)</f>
        <v>6708.85</v>
      </c>
      <c r="E11" s="19">
        <f t="shared" si="3"/>
        <v>1900.48</v>
      </c>
      <c r="F11" s="19">
        <f t="shared" si="3"/>
        <v>3359.77</v>
      </c>
      <c r="G11" s="19">
        <f t="shared" si="3"/>
        <v>7773.58</v>
      </c>
      <c r="H11" s="19">
        <f t="shared" si="3"/>
        <v>7987.23</v>
      </c>
      <c r="I11" s="19">
        <f t="shared" si="3"/>
        <v>5786.56</v>
      </c>
      <c r="J11" s="19">
        <f t="shared" si="3"/>
        <v>2583.92</v>
      </c>
      <c r="K11" s="20">
        <v>0</v>
      </c>
      <c r="L11" s="478">
        <f t="shared" si="2"/>
        <v>63669.130000000005</v>
      </c>
      <c r="M11" s="481">
        <f>SUM(L10:L11)</f>
        <v>85983.07</v>
      </c>
      <c r="N11" s="22" t="s">
        <v>692</v>
      </c>
      <c r="O11" s="17"/>
    </row>
    <row r="12" spans="1:16">
      <c r="A12" s="58" t="s">
        <v>446</v>
      </c>
      <c r="B12" s="37">
        <f t="shared" ref="B12:F12" si="4">SUM(B7*0%)</f>
        <v>0</v>
      </c>
      <c r="C12" s="37">
        <f t="shared" si="4"/>
        <v>0</v>
      </c>
      <c r="D12" s="37">
        <f t="shared" si="4"/>
        <v>0</v>
      </c>
      <c r="E12" s="37">
        <f t="shared" si="4"/>
        <v>0</v>
      </c>
      <c r="F12" s="37">
        <f t="shared" si="4"/>
        <v>0</v>
      </c>
      <c r="G12" s="37">
        <f>SUM(G7*0%)</f>
        <v>0</v>
      </c>
      <c r="H12" s="37">
        <f>SUM(H7*0%)</f>
        <v>0</v>
      </c>
      <c r="I12" s="37">
        <f>SUM(I7*0%)</f>
        <v>0</v>
      </c>
      <c r="J12" s="37">
        <f>SUM(J7*0%)</f>
        <v>0</v>
      </c>
      <c r="K12" s="20">
        <v>0</v>
      </c>
      <c r="L12" s="478">
        <f t="shared" si="2"/>
        <v>0</v>
      </c>
      <c r="M12" s="481"/>
      <c r="N12" s="22"/>
      <c r="O12" s="17"/>
    </row>
    <row r="13" spans="1:16" ht="23.25" thickBot="1">
      <c r="A13" s="59" t="s">
        <v>448</v>
      </c>
      <c r="B13" s="21">
        <f>ROUND(+B2*0.011,2)</f>
        <v>22.88</v>
      </c>
      <c r="C13" s="21">
        <f>ROUND(+C2*0.011,2)</f>
        <v>22.88</v>
      </c>
      <c r="D13" s="21">
        <f t="shared" ref="D13:K13" si="5">ROUND(+D2*0.011,2)</f>
        <v>22.88</v>
      </c>
      <c r="E13" s="21">
        <f t="shared" si="5"/>
        <v>6.86</v>
      </c>
      <c r="F13" s="21">
        <f t="shared" si="5"/>
        <v>11.44</v>
      </c>
      <c r="G13" s="21">
        <f t="shared" si="5"/>
        <v>22.88</v>
      </c>
      <c r="H13" s="21">
        <f t="shared" si="5"/>
        <v>22.88</v>
      </c>
      <c r="I13" s="21">
        <f t="shared" si="5"/>
        <v>11.44</v>
      </c>
      <c r="J13" s="21">
        <f t="shared" si="5"/>
        <v>9.9</v>
      </c>
      <c r="K13" s="21">
        <f t="shared" si="5"/>
        <v>15.58</v>
      </c>
      <c r="L13" s="478">
        <f t="shared" si="2"/>
        <v>169.62</v>
      </c>
      <c r="M13" s="481"/>
      <c r="N13" s="22"/>
      <c r="O13" s="17"/>
    </row>
    <row r="14" spans="1:16">
      <c r="A14" s="52" t="s">
        <v>129</v>
      </c>
      <c r="B14" s="19">
        <f t="shared" ref="B14:K14" si="6">ROUND(+B7*7.65%,2)</f>
        <v>7337.89</v>
      </c>
      <c r="C14" s="19">
        <f t="shared" si="6"/>
        <v>4981.08</v>
      </c>
      <c r="D14" s="19">
        <f t="shared" si="6"/>
        <v>2997.82</v>
      </c>
      <c r="E14" s="19">
        <f t="shared" si="6"/>
        <v>849.22</v>
      </c>
      <c r="F14" s="19">
        <f t="shared" si="6"/>
        <v>1501.3</v>
      </c>
      <c r="G14" s="19">
        <f t="shared" si="6"/>
        <v>3473.59</v>
      </c>
      <c r="H14" s="20">
        <f t="shared" si="6"/>
        <v>3569.06</v>
      </c>
      <c r="I14" s="19">
        <f t="shared" si="6"/>
        <v>2585.6999999999998</v>
      </c>
      <c r="J14" s="20">
        <f t="shared" si="6"/>
        <v>1154.6099999999999</v>
      </c>
      <c r="K14" s="20">
        <f t="shared" si="6"/>
        <v>1591.81</v>
      </c>
      <c r="L14" s="478">
        <f>SUM(B14:K14)</f>
        <v>30042.080000000005</v>
      </c>
      <c r="M14" s="1000" t="s">
        <v>973</v>
      </c>
      <c r="N14" s="1001" t="s">
        <v>975</v>
      </c>
      <c r="O14" s="1002" t="s">
        <v>974</v>
      </c>
      <c r="P14" s="1003"/>
    </row>
    <row r="15" spans="1:16">
      <c r="A15" s="52" t="s">
        <v>131</v>
      </c>
      <c r="B15" s="20">
        <f>+N15*12</f>
        <v>39048</v>
      </c>
      <c r="C15" s="20">
        <f>+$M$15*12</f>
        <v>13704</v>
      </c>
      <c r="D15" s="20">
        <f>+$M$15*12</f>
        <v>13704</v>
      </c>
      <c r="E15" s="20"/>
      <c r="F15" s="20">
        <f>+$M$15*12</f>
        <v>13704</v>
      </c>
      <c r="G15" s="20">
        <f>+$M$15*12</f>
        <v>13704</v>
      </c>
      <c r="H15" s="20">
        <f>+$M$15*12</f>
        <v>13704</v>
      </c>
      <c r="I15" s="20">
        <f>+$M$15*12</f>
        <v>13704</v>
      </c>
      <c r="J15" s="20"/>
      <c r="K15" s="23"/>
      <c r="L15" s="478">
        <f t="shared" si="2"/>
        <v>121272</v>
      </c>
      <c r="M15" s="1004">
        <v>1142</v>
      </c>
      <c r="N15" s="1005">
        <v>3254</v>
      </c>
      <c r="O15" s="1006" t="s">
        <v>976</v>
      </c>
      <c r="P15" s="1007"/>
    </row>
    <row r="16" spans="1:16">
      <c r="A16" s="52" t="s">
        <v>132</v>
      </c>
      <c r="B16" s="20">
        <f>+N16*12</f>
        <v>1788</v>
      </c>
      <c r="C16" s="20">
        <f>+$M$16*12</f>
        <v>684</v>
      </c>
      <c r="D16" s="20">
        <f>+$M$16*12</f>
        <v>684</v>
      </c>
      <c r="E16" s="20"/>
      <c r="F16" s="20">
        <f>+$M$16*12</f>
        <v>684</v>
      </c>
      <c r="G16" s="20">
        <f>+$M$16*12</f>
        <v>684</v>
      </c>
      <c r="H16" s="20">
        <f>+$M$16*12</f>
        <v>684</v>
      </c>
      <c r="I16" s="20">
        <f>+$M$16*12</f>
        <v>684</v>
      </c>
      <c r="J16" s="20"/>
      <c r="K16" s="23"/>
      <c r="L16" s="478">
        <f t="shared" si="2"/>
        <v>5892</v>
      </c>
      <c r="M16" s="1008">
        <v>57</v>
      </c>
      <c r="N16" s="1005">
        <v>149</v>
      </c>
      <c r="O16" s="1006"/>
      <c r="P16" s="1007"/>
    </row>
    <row r="17" spans="1:20">
      <c r="A17" s="54" t="s">
        <v>133</v>
      </c>
      <c r="B17" s="20">
        <f>3*12</f>
        <v>36</v>
      </c>
      <c r="C17" s="20">
        <f>+B17</f>
        <v>36</v>
      </c>
      <c r="D17" s="20">
        <f>+B17</f>
        <v>36</v>
      </c>
      <c r="E17" s="20"/>
      <c r="F17" s="20">
        <f>+B17</f>
        <v>36</v>
      </c>
      <c r="G17" s="20">
        <f>+B17</f>
        <v>36</v>
      </c>
      <c r="H17" s="20">
        <f>+B17</f>
        <v>36</v>
      </c>
      <c r="I17" s="20">
        <f>+B17</f>
        <v>36</v>
      </c>
      <c r="J17" s="20"/>
      <c r="K17" s="38"/>
      <c r="L17" s="478">
        <f t="shared" si="2"/>
        <v>252</v>
      </c>
      <c r="M17" s="1009">
        <v>3</v>
      </c>
      <c r="N17" s="1005"/>
      <c r="O17" s="1006"/>
      <c r="P17" s="1007"/>
    </row>
    <row r="18" spans="1:20" ht="13.5" thickBot="1">
      <c r="A18" s="54" t="s">
        <v>134</v>
      </c>
      <c r="B18" s="20">
        <f>24.25*12</f>
        <v>291</v>
      </c>
      <c r="C18" s="20">
        <f>+B18</f>
        <v>291</v>
      </c>
      <c r="D18" s="20">
        <f>+B18</f>
        <v>291</v>
      </c>
      <c r="E18" s="20"/>
      <c r="F18" s="20">
        <f>+B18</f>
        <v>291</v>
      </c>
      <c r="G18" s="20">
        <f>+B18</f>
        <v>291</v>
      </c>
      <c r="H18" s="20">
        <f>+B18</f>
        <v>291</v>
      </c>
      <c r="I18" s="20">
        <f>+B18</f>
        <v>291</v>
      </c>
      <c r="J18" s="20"/>
      <c r="K18" s="31"/>
      <c r="L18" s="478">
        <f t="shared" si="2"/>
        <v>2037</v>
      </c>
      <c r="M18" s="1010">
        <v>24.25</v>
      </c>
      <c r="N18" s="1011"/>
      <c r="O18" s="1012"/>
      <c r="P18" s="1013"/>
      <c r="T18" s="5"/>
    </row>
    <row r="19" spans="1:20">
      <c r="A19" s="54" t="s">
        <v>135</v>
      </c>
      <c r="B19" s="19">
        <v>225</v>
      </c>
      <c r="C19" s="19">
        <v>225</v>
      </c>
      <c r="D19" s="19">
        <f>+C19</f>
        <v>225</v>
      </c>
      <c r="E19" s="19">
        <v>135</v>
      </c>
      <c r="F19" s="19">
        <v>225</v>
      </c>
      <c r="G19" s="19">
        <f>+C19</f>
        <v>225</v>
      </c>
      <c r="H19" s="19">
        <f>+C19</f>
        <v>225</v>
      </c>
      <c r="I19" s="19">
        <f>+C19</f>
        <v>225</v>
      </c>
      <c r="J19" s="20">
        <v>225</v>
      </c>
      <c r="K19" s="31"/>
      <c r="L19" s="478">
        <f t="shared" si="2"/>
        <v>1935</v>
      </c>
      <c r="O19" s="17"/>
    </row>
    <row r="20" spans="1:20">
      <c r="A20" s="18" t="s">
        <v>981</v>
      </c>
      <c r="B20" s="19">
        <v>225</v>
      </c>
      <c r="C20" s="19">
        <v>0</v>
      </c>
      <c r="D20" s="19">
        <v>395.01</v>
      </c>
      <c r="E20" s="19">
        <v>67.5</v>
      </c>
      <c r="F20" s="19">
        <v>0</v>
      </c>
      <c r="G20" s="19">
        <v>0</v>
      </c>
      <c r="H20" s="19">
        <v>0</v>
      </c>
      <c r="I20" s="19">
        <v>0</v>
      </c>
      <c r="J20" s="20">
        <v>173.96</v>
      </c>
      <c r="K20" s="20"/>
      <c r="L20" s="20">
        <f>SUM(B20:K20)</f>
        <v>861.47</v>
      </c>
    </row>
    <row r="21" spans="1:20">
      <c r="A21" s="60"/>
      <c r="B21" s="472"/>
      <c r="C21" s="30"/>
      <c r="D21" s="29"/>
      <c r="E21" s="34"/>
      <c r="F21" s="28"/>
      <c r="G21" s="28"/>
      <c r="H21" s="28"/>
      <c r="I21" s="24"/>
      <c r="J21" s="28"/>
      <c r="K21" s="115" t="s">
        <v>137</v>
      </c>
      <c r="L21" s="56">
        <f>SUM(L7:L20)</f>
        <v>641151.33766979957</v>
      </c>
      <c r="M21" s="27"/>
      <c r="N21" s="35"/>
    </row>
    <row r="22" spans="1:20" ht="13.5" thickBot="1">
      <c r="A22" s="473" t="s">
        <v>590</v>
      </c>
      <c r="B22" s="22">
        <v>90490.74</v>
      </c>
      <c r="C22" s="26">
        <v>29.81</v>
      </c>
      <c r="D22" s="29">
        <v>17.75</v>
      </c>
      <c r="E22" s="34">
        <v>18.55</v>
      </c>
      <c r="F22" s="34">
        <v>18.55</v>
      </c>
      <c r="G22" s="22">
        <v>20.57</v>
      </c>
      <c r="H22" s="22">
        <v>21.16</v>
      </c>
      <c r="I22" s="43">
        <v>31.5</v>
      </c>
      <c r="J22" s="22">
        <v>15.8</v>
      </c>
      <c r="K22" s="22"/>
      <c r="L22" s="56"/>
      <c r="M22" s="27"/>
      <c r="N22" s="35"/>
    </row>
    <row r="23" spans="1:20" ht="13.5" thickBot="1">
      <c r="A23" s="474" t="s">
        <v>638</v>
      </c>
      <c r="B23" s="559">
        <f>SUM(B7/B22)-1</f>
        <v>6.0000000000000053E-2</v>
      </c>
      <c r="C23" s="559">
        <f t="shared" ref="C23:J23" si="7">SUM(C5/C22)-1</f>
        <v>3.0240110839671042E-2</v>
      </c>
      <c r="D23" s="559">
        <f t="shared" si="7"/>
        <v>6.1408450704225404E-2</v>
      </c>
      <c r="E23" s="559">
        <f t="shared" si="7"/>
        <v>-4.0970350404312739E-2</v>
      </c>
      <c r="F23" s="559">
        <f t="shared" si="7"/>
        <v>1.7250673854447562E-2</v>
      </c>
      <c r="G23" s="559">
        <f t="shared" si="7"/>
        <v>6.1254253767622613E-2</v>
      </c>
      <c r="H23" s="559">
        <f t="shared" si="7"/>
        <v>6.0018903591682493E-2</v>
      </c>
      <c r="I23" s="559">
        <f t="shared" si="7"/>
        <v>3.1746031746031855E-2</v>
      </c>
      <c r="J23" s="560">
        <f t="shared" si="7"/>
        <v>6.1392405063291022E-2</v>
      </c>
      <c r="K23" s="560"/>
      <c r="L23" s="1014">
        <f>+L21+C27+C33+C34+C30</f>
        <v>675801.33766979957</v>
      </c>
      <c r="M23" s="27"/>
      <c r="N23" s="35"/>
    </row>
    <row r="24" spans="1:20">
      <c r="A24" s="474"/>
      <c r="B24" s="475"/>
      <c r="C24" s="475"/>
      <c r="D24" s="475"/>
      <c r="E24" s="475"/>
      <c r="F24" s="475"/>
      <c r="G24" s="475"/>
      <c r="H24" s="475"/>
      <c r="I24" s="475"/>
      <c r="J24" s="477"/>
      <c r="K24" s="28"/>
      <c r="L24" s="28"/>
      <c r="M24" s="27"/>
      <c r="N24" s="35"/>
    </row>
    <row r="25" spans="1:20">
      <c r="A25" s="476"/>
      <c r="B25" s="390"/>
      <c r="C25" s="45" t="s">
        <v>636</v>
      </c>
      <c r="D25" s="45" t="s">
        <v>138</v>
      </c>
      <c r="E25" s="27"/>
      <c r="F25" s="28"/>
      <c r="G25" s="35"/>
      <c r="H25" s="24"/>
      <c r="I25" s="33"/>
      <c r="L25" s="28"/>
      <c r="M25" s="28"/>
      <c r="N25" s="35"/>
    </row>
    <row r="26" spans="1:20">
      <c r="A26" s="353" t="s">
        <v>17</v>
      </c>
      <c r="B26" s="1"/>
      <c r="C26" s="56">
        <f>+L7</f>
        <v>392707.09766979964</v>
      </c>
      <c r="D26" s="43">
        <f>ROUNDUP(C26,0)</f>
        <v>392708</v>
      </c>
      <c r="E26" s="32"/>
      <c r="F26" s="28"/>
      <c r="G26" s="24"/>
      <c r="H26" s="24"/>
      <c r="I26" s="24"/>
      <c r="L26" s="28"/>
      <c r="M26" s="27"/>
      <c r="N26" s="28"/>
    </row>
    <row r="27" spans="1:20">
      <c r="A27" s="353" t="s">
        <v>912</v>
      </c>
      <c r="B27" s="1"/>
      <c r="C27" s="56">
        <v>32800</v>
      </c>
      <c r="D27" s="43">
        <v>32800</v>
      </c>
      <c r="E27" s="32" t="s">
        <v>913</v>
      </c>
      <c r="F27" s="28"/>
      <c r="G27" s="24"/>
      <c r="H27" s="24"/>
      <c r="I27" s="24"/>
      <c r="L27" s="28"/>
      <c r="M27" s="27"/>
      <c r="N27" s="28"/>
    </row>
    <row r="28" spans="1:20">
      <c r="A28" s="353" t="s">
        <v>455</v>
      </c>
      <c r="B28" s="1"/>
      <c r="C28" s="56">
        <f>+L14+L13</f>
        <v>30211.700000000004</v>
      </c>
      <c r="D28" s="43">
        <f t="shared" ref="D28:D32" si="8">ROUNDUP(C28,0)</f>
        <v>30212</v>
      </c>
      <c r="E28" s="24"/>
      <c r="F28" s="28"/>
      <c r="G28" s="24"/>
      <c r="H28" s="24"/>
      <c r="I28" s="24"/>
      <c r="L28" s="28"/>
      <c r="M28" s="27"/>
      <c r="N28" s="28"/>
    </row>
    <row r="29" spans="1:20">
      <c r="A29" s="353" t="s">
        <v>415</v>
      </c>
      <c r="B29" s="1"/>
      <c r="C29" s="56">
        <f>+L15+L16+L17+L18</f>
        <v>129453</v>
      </c>
      <c r="D29" s="43">
        <f>ROUNDUP(C29,0)</f>
        <v>129453</v>
      </c>
      <c r="E29" s="24"/>
      <c r="F29" s="28"/>
      <c r="G29" s="24"/>
      <c r="H29" s="24"/>
      <c r="I29" s="24"/>
      <c r="L29" s="28"/>
      <c r="M29" s="27"/>
      <c r="N29" s="28"/>
    </row>
    <row r="30" spans="1:20">
      <c r="A30" s="353" t="s">
        <v>454</v>
      </c>
      <c r="B30" s="1"/>
      <c r="C30" s="56">
        <v>750</v>
      </c>
      <c r="D30" s="43">
        <f t="shared" si="8"/>
        <v>750</v>
      </c>
      <c r="E30" s="24"/>
      <c r="F30" s="28"/>
      <c r="G30" s="24"/>
      <c r="H30" s="24"/>
      <c r="I30" s="24"/>
      <c r="J30" s="28"/>
      <c r="K30" s="28"/>
      <c r="L30" s="28"/>
      <c r="M30" s="28"/>
    </row>
    <row r="31" spans="1:20">
      <c r="A31" s="353" t="s">
        <v>378</v>
      </c>
      <c r="B31" s="1"/>
      <c r="C31" s="32">
        <f>SUM(L10:L12)</f>
        <v>85983.07</v>
      </c>
      <c r="D31" s="43">
        <f t="shared" si="8"/>
        <v>85984</v>
      </c>
      <c r="E31" s="24" t="s">
        <v>914</v>
      </c>
      <c r="F31" s="28"/>
      <c r="G31" s="24"/>
      <c r="H31" s="24"/>
      <c r="I31" s="24"/>
      <c r="J31" s="28"/>
      <c r="K31" s="28"/>
      <c r="L31" s="28"/>
      <c r="M31" s="28"/>
    </row>
    <row r="32" spans="1:20">
      <c r="A32" s="342" t="s">
        <v>447</v>
      </c>
      <c r="B32" s="343"/>
      <c r="C32" s="355">
        <f>+L19+L20</f>
        <v>2796.4700000000003</v>
      </c>
      <c r="D32" s="43">
        <f t="shared" si="8"/>
        <v>2797</v>
      </c>
      <c r="E32" s="24"/>
      <c r="F32" s="28"/>
      <c r="G32" s="24"/>
      <c r="H32" s="24"/>
      <c r="I32" s="24"/>
      <c r="J32" s="28"/>
      <c r="K32" s="28"/>
      <c r="L32" s="28"/>
      <c r="M32" s="28"/>
    </row>
    <row r="33" spans="1:14">
      <c r="A33" s="353" t="s">
        <v>18</v>
      </c>
      <c r="B33" s="1"/>
      <c r="C33" s="32">
        <v>1000</v>
      </c>
      <c r="D33" s="43">
        <v>1000</v>
      </c>
      <c r="E33" s="24"/>
      <c r="F33" s="28"/>
      <c r="G33" s="24"/>
      <c r="H33" s="24"/>
      <c r="I33" s="24"/>
      <c r="J33" s="28"/>
      <c r="K33" s="28"/>
      <c r="L33" s="28"/>
      <c r="M33" s="28"/>
    </row>
    <row r="34" spans="1:14">
      <c r="A34" s="353" t="s">
        <v>19</v>
      </c>
      <c r="B34" s="1"/>
      <c r="C34" s="32">
        <v>100</v>
      </c>
      <c r="D34" s="43">
        <v>100</v>
      </c>
      <c r="E34" s="53">
        <f>+L2/2080</f>
        <v>7.4134615384615383</v>
      </c>
      <c r="F34" s="24" t="s">
        <v>83</v>
      </c>
      <c r="H34" s="24"/>
      <c r="I34" s="24"/>
      <c r="J34" s="28"/>
      <c r="K34" s="28"/>
      <c r="L34" s="28"/>
      <c r="M34" s="28"/>
    </row>
    <row r="35" spans="1:14" ht="13.5" thickBot="1">
      <c r="A35" s="353" t="s">
        <v>429</v>
      </c>
      <c r="C35" s="111">
        <f>SUM(C26:C34)</f>
        <v>675801.33766979957</v>
      </c>
      <c r="D35" s="111">
        <f>SUM(D26:D34)</f>
        <v>675804</v>
      </c>
      <c r="G35" s="35"/>
      <c r="H35" s="24"/>
      <c r="I35" s="28"/>
      <c r="J35" s="28"/>
      <c r="K35" s="28"/>
      <c r="L35" s="28"/>
      <c r="M35" s="28"/>
    </row>
    <row r="36" spans="1:14" ht="13.5" thickTop="1">
      <c r="B36" s="24"/>
      <c r="C36" s="32"/>
      <c r="D36" s="32"/>
      <c r="F36" s="24"/>
      <c r="G36" s="24"/>
      <c r="H36" s="24"/>
      <c r="I36" s="28"/>
      <c r="J36" s="28"/>
      <c r="K36" s="28"/>
      <c r="L36" s="28"/>
    </row>
    <row r="38" spans="1:14">
      <c r="A38" s="2" t="s">
        <v>608</v>
      </c>
      <c r="B38" s="24"/>
      <c r="C38" s="24"/>
      <c r="D38" s="28" t="s">
        <v>637</v>
      </c>
      <c r="H38" s="24"/>
      <c r="I38" s="28"/>
      <c r="J38" s="28"/>
      <c r="K38" s="28"/>
      <c r="L38" s="28"/>
    </row>
    <row r="39" spans="1:14" s="24" customFormat="1">
      <c r="J39" s="28"/>
      <c r="K39" s="28"/>
      <c r="L39" s="28"/>
      <c r="M39" s="28"/>
      <c r="N39" s="28"/>
    </row>
    <row r="40" spans="1:14" ht="41.25" customHeight="1">
      <c r="A40" s="18"/>
      <c r="B40" s="36" t="s">
        <v>717</v>
      </c>
      <c r="C40" s="647" t="s">
        <v>937</v>
      </c>
      <c r="D40" s="36" t="s">
        <v>938</v>
      </c>
      <c r="E40" s="36" t="s">
        <v>635</v>
      </c>
      <c r="F40" s="649" t="s">
        <v>644</v>
      </c>
      <c r="H40" s="17"/>
    </row>
    <row r="41" spans="1:14">
      <c r="A41" s="18"/>
      <c r="B41" s="647">
        <f>+'YE Projections'!C1</f>
        <v>45420</v>
      </c>
      <c r="C41" s="647"/>
      <c r="D41" s="36"/>
      <c r="E41" s="36"/>
      <c r="F41" s="649"/>
      <c r="H41" s="17"/>
      <c r="L41" s="115"/>
    </row>
    <row r="42" spans="1:14">
      <c r="A42" s="529" t="s">
        <v>17</v>
      </c>
      <c r="B42" s="337">
        <f>+'YE Projections'!C22</f>
        <v>287852.94</v>
      </c>
      <c r="C42" s="19">
        <v>25800</v>
      </c>
      <c r="D42" s="19">
        <v>25800</v>
      </c>
      <c r="E42" s="337">
        <f>ROUNDUP(B42+C42+D42,0)</f>
        <v>339453</v>
      </c>
      <c r="F42" s="650">
        <f>+'YE Projections'!G22</f>
        <v>397094</v>
      </c>
      <c r="H42" s="17"/>
      <c r="L42" s="115"/>
    </row>
    <row r="43" spans="1:14">
      <c r="A43" s="18" t="s">
        <v>643</v>
      </c>
      <c r="B43" s="337">
        <f>+'YE Projections'!C23</f>
        <v>22125.18</v>
      </c>
      <c r="C43" s="19">
        <v>2200</v>
      </c>
      <c r="D43" s="19">
        <v>2200</v>
      </c>
      <c r="E43" s="337">
        <f t="shared" ref="E43:E45" si="9">ROUNDUP(B43+C43+D43,0)</f>
        <v>26526</v>
      </c>
      <c r="F43" s="650">
        <f>+'YE Projections'!G23</f>
        <v>28000</v>
      </c>
      <c r="H43" s="17"/>
      <c r="L43" s="115"/>
    </row>
    <row r="44" spans="1:14">
      <c r="A44" s="18" t="s">
        <v>415</v>
      </c>
      <c r="B44" s="337">
        <f>+'YE Projections'!C24</f>
        <v>100632.59</v>
      </c>
      <c r="C44" s="19">
        <v>9810.15</v>
      </c>
      <c r="D44" s="19">
        <v>9810.15</v>
      </c>
      <c r="E44" s="337">
        <f t="shared" si="9"/>
        <v>120253</v>
      </c>
      <c r="F44" s="650">
        <f>+'YE Projections'!G24</f>
        <v>110750</v>
      </c>
      <c r="H44" s="17"/>
      <c r="L44" s="115"/>
    </row>
    <row r="45" spans="1:14">
      <c r="A45" s="18" t="s">
        <v>378</v>
      </c>
      <c r="B45" s="337">
        <f>+'YE Projections'!C25</f>
        <v>52036.87</v>
      </c>
      <c r="C45" s="19">
        <v>5200</v>
      </c>
      <c r="D45" s="19">
        <v>5200</v>
      </c>
      <c r="E45" s="337">
        <f t="shared" si="9"/>
        <v>62437</v>
      </c>
      <c r="F45" s="650">
        <f>+'YE Projections'!G25</f>
        <v>47700</v>
      </c>
      <c r="H45" s="17"/>
      <c r="K45" s="338"/>
      <c r="L45" s="28"/>
      <c r="M45" s="22"/>
      <c r="N45" s="344"/>
    </row>
    <row r="46" spans="1:14">
      <c r="A46" s="531" t="s">
        <v>367</v>
      </c>
      <c r="B46" s="19">
        <f t="shared" ref="B46" si="10">SUM(B42:B45)</f>
        <v>462647.57999999996</v>
      </c>
      <c r="C46" s="648">
        <f>SUM(C42:C45)</f>
        <v>43010.15</v>
      </c>
      <c r="D46" s="20">
        <f>SUM(D42:D45)</f>
        <v>43010.15</v>
      </c>
      <c r="E46" s="19">
        <f>SUM(E42:E45)</f>
        <v>548669</v>
      </c>
      <c r="F46" s="644"/>
      <c r="H46" s="17"/>
      <c r="K46" s="22"/>
      <c r="L46" s="22"/>
      <c r="M46" s="22"/>
      <c r="N46" s="28"/>
    </row>
    <row r="47" spans="1:14">
      <c r="B47" s="355"/>
      <c r="E47" s="24"/>
      <c r="F47" s="644"/>
      <c r="H47" s="28"/>
      <c r="K47" s="28"/>
      <c r="L47" s="28"/>
      <c r="M47" s="28"/>
    </row>
    <row r="48" spans="1:14">
      <c r="B48" s="2" t="s">
        <v>465</v>
      </c>
      <c r="C48" s="2">
        <v>176</v>
      </c>
      <c r="D48" s="2">
        <v>176</v>
      </c>
      <c r="E48" s="24"/>
      <c r="F48" s="24"/>
      <c r="H48" s="28"/>
      <c r="K48" s="28"/>
      <c r="L48" s="28"/>
    </row>
    <row r="49" spans="1:20">
      <c r="G49" s="24"/>
      <c r="H49" s="24"/>
      <c r="I49" s="28"/>
      <c r="K49" s="28"/>
      <c r="L49" s="28"/>
    </row>
    <row r="50" spans="1:20">
      <c r="A50" s="2" t="s">
        <v>382</v>
      </c>
      <c r="C50" s="933" t="s">
        <v>591</v>
      </c>
      <c r="D50" s="933"/>
      <c r="E50" s="933"/>
      <c r="H50" s="25" t="s">
        <v>383</v>
      </c>
      <c r="I50" s="2" t="s">
        <v>592</v>
      </c>
      <c r="J50" s="2"/>
      <c r="K50" s="2"/>
      <c r="L50" s="2"/>
      <c r="M50" s="2"/>
      <c r="N50" s="2"/>
      <c r="R50" s="28"/>
      <c r="S50" s="28"/>
      <c r="T50" s="28"/>
    </row>
    <row r="51" spans="1:20">
      <c r="A51" s="605" t="s">
        <v>640</v>
      </c>
      <c r="B51" s="604">
        <f>+B86</f>
        <v>3.0209498408328442E-2</v>
      </c>
      <c r="C51" s="2" t="s">
        <v>384</v>
      </c>
      <c r="D51" s="2" t="s">
        <v>385</v>
      </c>
      <c r="E51" s="2" t="s">
        <v>386</v>
      </c>
      <c r="F51" s="2" t="s">
        <v>387</v>
      </c>
      <c r="G51" s="2" t="s">
        <v>388</v>
      </c>
      <c r="H51" s="2" t="s">
        <v>389</v>
      </c>
      <c r="I51" s="2" t="s">
        <v>390</v>
      </c>
      <c r="J51" s="2" t="s">
        <v>391</v>
      </c>
      <c r="K51" s="2" t="s">
        <v>392</v>
      </c>
      <c r="L51" s="2" t="s">
        <v>393</v>
      </c>
      <c r="M51" s="2" t="s">
        <v>394</v>
      </c>
      <c r="N51" s="2" t="s">
        <v>395</v>
      </c>
      <c r="O51" s="2" t="s">
        <v>396</v>
      </c>
      <c r="P51" s="2" t="s">
        <v>397</v>
      </c>
      <c r="R51" s="28"/>
      <c r="S51" s="2" t="s">
        <v>469</v>
      </c>
      <c r="T51" s="28"/>
    </row>
    <row r="52" spans="1:20">
      <c r="A52" s="2">
        <v>1</v>
      </c>
      <c r="B52" s="2" t="s">
        <v>399</v>
      </c>
      <c r="C52" s="344">
        <f>SUM(C98*$B$51)+C98</f>
        <v>15.803413705583758</v>
      </c>
      <c r="D52" s="344">
        <f t="shared" ref="D52:L52" si="11">ROUND(+C52*1.03,2)</f>
        <v>16.28</v>
      </c>
      <c r="E52" s="660">
        <f t="shared" si="11"/>
        <v>16.77</v>
      </c>
      <c r="F52" s="344">
        <f t="shared" si="11"/>
        <v>17.27</v>
      </c>
      <c r="G52" s="660">
        <f t="shared" si="11"/>
        <v>17.79</v>
      </c>
      <c r="H52" s="344">
        <f t="shared" si="11"/>
        <v>18.32</v>
      </c>
      <c r="I52" s="660">
        <f t="shared" si="11"/>
        <v>18.87</v>
      </c>
      <c r="J52" s="344">
        <f t="shared" si="11"/>
        <v>19.440000000000001</v>
      </c>
      <c r="K52" s="344">
        <f t="shared" si="11"/>
        <v>20.02</v>
      </c>
      <c r="L52" s="344">
        <f t="shared" si="11"/>
        <v>20.62</v>
      </c>
      <c r="M52" s="344">
        <f>ROUND(+L52*1.05,2)</f>
        <v>21.65</v>
      </c>
      <c r="N52" s="344">
        <f>ROUND(+M52*1.05,2)</f>
        <v>22.73</v>
      </c>
      <c r="O52" s="344">
        <f>ROUND(+N52*1.05,2)</f>
        <v>23.87</v>
      </c>
      <c r="P52" s="344">
        <f>ROUND(+O52*1.05,2)</f>
        <v>25.06</v>
      </c>
      <c r="Q52" s="2" t="s">
        <v>910</v>
      </c>
      <c r="R52" s="56"/>
      <c r="S52" s="2" t="s">
        <v>471</v>
      </c>
      <c r="T52" s="28"/>
    </row>
    <row r="53" spans="1:20">
      <c r="C53" s="344"/>
      <c r="D53" s="602">
        <v>0.03</v>
      </c>
      <c r="E53" s="602">
        <v>0.03</v>
      </c>
      <c r="F53" s="602">
        <v>0.03</v>
      </c>
      <c r="G53" s="602">
        <v>0.03</v>
      </c>
      <c r="H53" s="602">
        <v>0.03</v>
      </c>
      <c r="I53" s="602">
        <v>0.03</v>
      </c>
      <c r="J53" s="602">
        <v>0.03</v>
      </c>
      <c r="K53" s="602">
        <v>0.03</v>
      </c>
      <c r="L53" s="602">
        <v>0.03</v>
      </c>
      <c r="M53" s="602">
        <v>0.05</v>
      </c>
      <c r="N53" s="602">
        <v>0.05</v>
      </c>
      <c r="O53" s="106">
        <v>0.05</v>
      </c>
      <c r="P53" s="106">
        <v>0.05</v>
      </c>
      <c r="R53" s="28"/>
      <c r="S53" s="2" t="s">
        <v>472</v>
      </c>
      <c r="T53" s="28"/>
    </row>
    <row r="54" spans="1:20">
      <c r="A54" s="2">
        <v>2</v>
      </c>
      <c r="B54" s="2" t="s">
        <v>400</v>
      </c>
      <c r="C54" s="344">
        <f>SUM(C100*$B$51)+C100</f>
        <v>16.751206444119422</v>
      </c>
      <c r="D54" s="344">
        <f>ROUND(+C54*1.03,2)</f>
        <v>17.25</v>
      </c>
      <c r="E54" s="344">
        <f t="shared" ref="E54:L54" si="12">ROUND(+D54*1.03,2)</f>
        <v>17.77</v>
      </c>
      <c r="F54" s="344">
        <f t="shared" si="12"/>
        <v>18.3</v>
      </c>
      <c r="G54" s="344">
        <f t="shared" si="12"/>
        <v>18.850000000000001</v>
      </c>
      <c r="H54" s="344">
        <f t="shared" si="12"/>
        <v>19.420000000000002</v>
      </c>
      <c r="I54" s="344">
        <f t="shared" si="12"/>
        <v>20</v>
      </c>
      <c r="J54" s="344">
        <f t="shared" si="12"/>
        <v>20.6</v>
      </c>
      <c r="K54" s="344">
        <f t="shared" si="12"/>
        <v>21.22</v>
      </c>
      <c r="L54" s="344">
        <f t="shared" si="12"/>
        <v>21.86</v>
      </c>
      <c r="M54" s="344">
        <f>ROUND(+L54*1.05,2)</f>
        <v>22.95</v>
      </c>
      <c r="N54" s="344">
        <f>ROUND(+M54*1.05,2)</f>
        <v>24.1</v>
      </c>
      <c r="O54" s="344">
        <f>ROUND(+N54*1.05,2)</f>
        <v>25.31</v>
      </c>
      <c r="P54" s="344">
        <f>ROUND(+O54*1.05,2)</f>
        <v>26.58</v>
      </c>
      <c r="R54" s="28"/>
      <c r="S54" s="2" t="s">
        <v>473</v>
      </c>
      <c r="T54" s="28"/>
    </row>
    <row r="55" spans="1:20">
      <c r="C55" s="344"/>
      <c r="D55" s="602">
        <v>0.03</v>
      </c>
      <c r="E55" s="602">
        <v>0.03</v>
      </c>
      <c r="F55" s="602">
        <v>0.03</v>
      </c>
      <c r="G55" s="602">
        <v>0.03</v>
      </c>
      <c r="H55" s="602">
        <v>0.03</v>
      </c>
      <c r="I55" s="602">
        <v>0.03</v>
      </c>
      <c r="J55" s="602">
        <v>0.03</v>
      </c>
      <c r="K55" s="602">
        <v>0.03</v>
      </c>
      <c r="L55" s="602">
        <v>0.03</v>
      </c>
      <c r="M55" s="602">
        <v>0.05</v>
      </c>
      <c r="N55" s="602">
        <v>0.05</v>
      </c>
      <c r="O55" s="106">
        <v>0.05</v>
      </c>
      <c r="P55" s="106">
        <v>0.05</v>
      </c>
      <c r="R55" s="28"/>
      <c r="S55" s="2" t="s">
        <v>474</v>
      </c>
      <c r="T55" s="28"/>
    </row>
    <row r="56" spans="1:20">
      <c r="A56" s="2">
        <v>3</v>
      </c>
      <c r="B56" s="2" t="s">
        <v>401</v>
      </c>
      <c r="C56" s="344">
        <f>SUM(C102*$B$51)+C102</f>
        <v>17.760811752559579</v>
      </c>
      <c r="D56" s="344">
        <f>ROUND(+C56*1.03,2)</f>
        <v>18.29</v>
      </c>
      <c r="E56" s="660">
        <f t="shared" ref="E56:L56" si="13">ROUND(+D56*1.03,2)</f>
        <v>18.84</v>
      </c>
      <c r="F56" s="344">
        <f t="shared" si="13"/>
        <v>19.41</v>
      </c>
      <c r="G56" s="344">
        <f t="shared" si="13"/>
        <v>19.989999999999998</v>
      </c>
      <c r="H56" s="344">
        <f t="shared" si="13"/>
        <v>20.59</v>
      </c>
      <c r="I56" s="344">
        <f t="shared" si="13"/>
        <v>21.21</v>
      </c>
      <c r="J56" s="344">
        <f t="shared" si="13"/>
        <v>21.85</v>
      </c>
      <c r="K56" s="344">
        <f t="shared" si="13"/>
        <v>22.51</v>
      </c>
      <c r="L56" s="344">
        <f t="shared" si="13"/>
        <v>23.19</v>
      </c>
      <c r="M56" s="344">
        <f>ROUND(+L56*1.05,2)</f>
        <v>24.35</v>
      </c>
      <c r="N56" s="344">
        <f>ROUND(+M56*1.05,2)</f>
        <v>25.57</v>
      </c>
      <c r="O56" s="344">
        <f>ROUND(+N56*1.05,2)</f>
        <v>26.85</v>
      </c>
      <c r="P56" s="344">
        <f>ROUND(+O56*1.05,2)</f>
        <v>28.19</v>
      </c>
      <c r="Q56" s="2" t="s">
        <v>475</v>
      </c>
      <c r="R56" s="28"/>
      <c r="S56" s="2" t="s">
        <v>476</v>
      </c>
      <c r="T56" s="28"/>
    </row>
    <row r="57" spans="1:20">
      <c r="C57" s="344"/>
      <c r="D57" s="602">
        <v>0.03</v>
      </c>
      <c r="E57" s="602">
        <v>0.03</v>
      </c>
      <c r="F57" s="602">
        <v>0.03</v>
      </c>
      <c r="G57" s="602">
        <v>0.03</v>
      </c>
      <c r="H57" s="602">
        <v>0.03</v>
      </c>
      <c r="I57" s="602">
        <v>0.03</v>
      </c>
      <c r="J57" s="602">
        <v>0.03</v>
      </c>
      <c r="K57" s="602">
        <v>0.03</v>
      </c>
      <c r="L57" s="602">
        <v>0.03</v>
      </c>
      <c r="M57" s="602">
        <v>0.05</v>
      </c>
      <c r="N57" s="602">
        <v>0.05</v>
      </c>
      <c r="O57" s="106">
        <v>0.05</v>
      </c>
      <c r="P57" s="106">
        <v>0.05</v>
      </c>
      <c r="R57" s="28"/>
      <c r="S57" s="2" t="s">
        <v>477</v>
      </c>
      <c r="T57" s="28"/>
    </row>
    <row r="58" spans="1:20">
      <c r="A58" s="2">
        <v>4</v>
      </c>
      <c r="B58" s="2" t="s">
        <v>402</v>
      </c>
      <c r="C58" s="344">
        <f>SUM(C104*$B$51)+C104</f>
        <v>18.82192753592016</v>
      </c>
      <c r="D58" s="344">
        <f>ROUND(+C58*1.03,2)</f>
        <v>19.39</v>
      </c>
      <c r="E58" s="344">
        <f t="shared" ref="E58:L58" si="14">ROUND(+D58*1.03,2)</f>
        <v>19.97</v>
      </c>
      <c r="F58" s="344">
        <f t="shared" si="14"/>
        <v>20.57</v>
      </c>
      <c r="G58" s="344">
        <f t="shared" si="14"/>
        <v>21.19</v>
      </c>
      <c r="H58" s="660">
        <f t="shared" si="14"/>
        <v>21.83</v>
      </c>
      <c r="I58" s="344">
        <f t="shared" si="14"/>
        <v>22.48</v>
      </c>
      <c r="J58" s="344">
        <f t="shared" si="14"/>
        <v>23.15</v>
      </c>
      <c r="K58" s="344">
        <f t="shared" si="14"/>
        <v>23.84</v>
      </c>
      <c r="L58" s="344">
        <f t="shared" si="14"/>
        <v>24.56</v>
      </c>
      <c r="M58" s="344">
        <f>ROUND(+L58*1.05,2)</f>
        <v>25.79</v>
      </c>
      <c r="N58" s="344">
        <f>ROUND(+M58*1.05,2)</f>
        <v>27.08</v>
      </c>
      <c r="O58" s="5">
        <f t="shared" ref="O58:P58" si="15">+N58*1.05</f>
        <v>28.434000000000001</v>
      </c>
      <c r="P58" s="5">
        <f t="shared" si="15"/>
        <v>29.855700000000002</v>
      </c>
      <c r="Q58" s="2" t="s">
        <v>478</v>
      </c>
      <c r="R58" s="28"/>
      <c r="S58" s="28"/>
      <c r="T58" s="28"/>
    </row>
    <row r="59" spans="1:20">
      <c r="C59" s="344"/>
      <c r="D59" s="602">
        <v>0.03</v>
      </c>
      <c r="E59" s="602">
        <v>0.03</v>
      </c>
      <c r="F59" s="602">
        <v>0.03</v>
      </c>
      <c r="G59" s="602">
        <v>0.03</v>
      </c>
      <c r="H59" s="602">
        <v>0.03</v>
      </c>
      <c r="I59" s="602">
        <v>0.03</v>
      </c>
      <c r="J59" s="602">
        <v>0.03</v>
      </c>
      <c r="K59" s="602">
        <v>0.03</v>
      </c>
      <c r="L59" s="602">
        <v>0.03</v>
      </c>
      <c r="M59" s="602">
        <v>0.05</v>
      </c>
      <c r="N59" s="602">
        <v>0.05</v>
      </c>
      <c r="O59" s="106">
        <v>0.05</v>
      </c>
      <c r="P59" s="106">
        <v>0.05</v>
      </c>
      <c r="R59" s="28"/>
      <c r="S59" s="28"/>
      <c r="T59" s="28"/>
    </row>
    <row r="60" spans="1:20">
      <c r="A60" s="2">
        <v>5</v>
      </c>
      <c r="B60" s="2" t="s">
        <v>403</v>
      </c>
      <c r="C60" s="344">
        <f>SUM(C106*$B$51)+C106</f>
        <v>19.934553794201157</v>
      </c>
      <c r="D60" s="344">
        <f>ROUND(+C60*1.03,2)</f>
        <v>20.53</v>
      </c>
      <c r="E60" s="344">
        <f t="shared" ref="E60:L60" si="16">ROUND(+D60*1.03,2)</f>
        <v>21.15</v>
      </c>
      <c r="F60" s="344">
        <f t="shared" si="16"/>
        <v>21.78</v>
      </c>
      <c r="G60" s="660">
        <f t="shared" si="16"/>
        <v>22.43</v>
      </c>
      <c r="H60" s="344">
        <f t="shared" si="16"/>
        <v>23.1</v>
      </c>
      <c r="I60" s="344">
        <f t="shared" si="16"/>
        <v>23.79</v>
      </c>
      <c r="J60" s="344">
        <f t="shared" si="16"/>
        <v>24.5</v>
      </c>
      <c r="K60" s="344">
        <f t="shared" si="16"/>
        <v>25.24</v>
      </c>
      <c r="L60" s="344">
        <f t="shared" si="16"/>
        <v>26</v>
      </c>
      <c r="M60" s="344">
        <f>ROUND(+L60*1.05,2)</f>
        <v>27.3</v>
      </c>
      <c r="N60" s="344">
        <f t="shared" ref="N60:P60" si="17">ROUND(+M60*1.05,2)</f>
        <v>28.67</v>
      </c>
      <c r="O60" s="344">
        <f t="shared" si="17"/>
        <v>30.1</v>
      </c>
      <c r="P60" s="344">
        <f t="shared" si="17"/>
        <v>31.61</v>
      </c>
      <c r="Q60" s="2" t="s">
        <v>479</v>
      </c>
      <c r="R60" s="28"/>
      <c r="S60" s="28"/>
      <c r="T60" s="28"/>
    </row>
    <row r="61" spans="1:20">
      <c r="C61" s="344"/>
      <c r="D61" s="602">
        <v>0.03</v>
      </c>
      <c r="E61" s="602">
        <v>0.03</v>
      </c>
      <c r="F61" s="602">
        <v>0.03</v>
      </c>
      <c r="G61" s="602">
        <v>0.03</v>
      </c>
      <c r="H61" s="602">
        <v>0.03</v>
      </c>
      <c r="I61" s="602">
        <v>0.03</v>
      </c>
      <c r="J61" s="602">
        <v>0.03</v>
      </c>
      <c r="K61" s="602">
        <v>0.03</v>
      </c>
      <c r="L61" s="602">
        <v>0.03</v>
      </c>
      <c r="M61" s="602">
        <v>0.05</v>
      </c>
      <c r="N61" s="602">
        <v>0.05</v>
      </c>
      <c r="O61" s="106">
        <v>0.05</v>
      </c>
      <c r="P61" s="106">
        <v>0.05</v>
      </c>
      <c r="R61" s="28"/>
      <c r="S61" s="28"/>
      <c r="T61" s="28"/>
    </row>
    <row r="62" spans="1:20">
      <c r="A62" s="2">
        <v>6</v>
      </c>
      <c r="B62" s="2" t="s">
        <v>400</v>
      </c>
      <c r="C62" s="344">
        <f>SUM(C108*$B$51)+C108</f>
        <v>21.150201002322984</v>
      </c>
      <c r="D62" s="344">
        <f>ROUND(+C62*1.03,2)</f>
        <v>21.78</v>
      </c>
      <c r="E62" s="344">
        <f t="shared" ref="E62:L62" si="18">ROUND(+D62*1.03,2)</f>
        <v>22.43</v>
      </c>
      <c r="F62" s="344">
        <f t="shared" si="18"/>
        <v>23.1</v>
      </c>
      <c r="G62" s="344">
        <f t="shared" si="18"/>
        <v>23.79</v>
      </c>
      <c r="H62" s="344">
        <f t="shared" si="18"/>
        <v>24.5</v>
      </c>
      <c r="I62" s="344">
        <f t="shared" si="18"/>
        <v>25.24</v>
      </c>
      <c r="J62" s="344">
        <f t="shared" si="18"/>
        <v>26</v>
      </c>
      <c r="K62" s="344">
        <f t="shared" si="18"/>
        <v>26.78</v>
      </c>
      <c r="L62" s="344">
        <f t="shared" si="18"/>
        <v>27.58</v>
      </c>
      <c r="M62" s="344">
        <f>ROUND(+L62*1.05,2)</f>
        <v>28.96</v>
      </c>
      <c r="N62" s="344">
        <f t="shared" ref="N62:P62" si="19">ROUND(+M62*1.05,2)</f>
        <v>30.41</v>
      </c>
      <c r="O62" s="344">
        <f t="shared" si="19"/>
        <v>31.93</v>
      </c>
      <c r="P62" s="344">
        <f t="shared" si="19"/>
        <v>33.53</v>
      </c>
      <c r="R62" s="28"/>
      <c r="S62" s="28"/>
      <c r="T62" s="28"/>
    </row>
    <row r="63" spans="1:20">
      <c r="C63" s="344"/>
      <c r="D63" s="602">
        <v>0.03</v>
      </c>
      <c r="E63" s="602">
        <v>0.03</v>
      </c>
      <c r="F63" s="602">
        <v>0.03</v>
      </c>
      <c r="G63" s="602">
        <v>0.03</v>
      </c>
      <c r="H63" s="602">
        <v>0.03</v>
      </c>
      <c r="I63" s="602">
        <v>0.03</v>
      </c>
      <c r="J63" s="602">
        <v>0.03</v>
      </c>
      <c r="K63" s="602">
        <v>0.03</v>
      </c>
      <c r="L63" s="602">
        <v>0.03</v>
      </c>
      <c r="M63" s="602">
        <v>0.05</v>
      </c>
      <c r="N63" s="602">
        <v>0.05</v>
      </c>
      <c r="O63" s="106">
        <v>0.05</v>
      </c>
      <c r="P63" s="106">
        <v>0.05</v>
      </c>
      <c r="R63" s="28"/>
      <c r="S63" s="28"/>
      <c r="T63" s="28"/>
    </row>
    <row r="64" spans="1:20">
      <c r="A64" s="2">
        <v>7</v>
      </c>
      <c r="B64" s="2" t="s">
        <v>404</v>
      </c>
      <c r="C64" s="344">
        <f>SUM(C110*$B$51)+C110</f>
        <v>22.41735868536523</v>
      </c>
      <c r="D64" s="344">
        <f>ROUND(+C64*1.03,2)</f>
        <v>23.09</v>
      </c>
      <c r="E64" s="344">
        <f t="shared" ref="E64:L64" si="20">ROUND(+D64*1.03,2)</f>
        <v>23.78</v>
      </c>
      <c r="F64" s="344">
        <f t="shared" si="20"/>
        <v>24.49</v>
      </c>
      <c r="G64" s="344">
        <f t="shared" si="20"/>
        <v>25.22</v>
      </c>
      <c r="H64" s="344">
        <f t="shared" si="20"/>
        <v>25.98</v>
      </c>
      <c r="I64" s="344">
        <f t="shared" si="20"/>
        <v>26.76</v>
      </c>
      <c r="J64" s="344">
        <f t="shared" si="20"/>
        <v>27.56</v>
      </c>
      <c r="K64" s="344">
        <f t="shared" si="20"/>
        <v>28.39</v>
      </c>
      <c r="L64" s="344">
        <f t="shared" si="20"/>
        <v>29.24</v>
      </c>
      <c r="M64" s="659">
        <f>ROUND(+M110*B51,2)+M110</f>
        <v>30.711457704130591</v>
      </c>
      <c r="N64" s="603">
        <f t="shared" ref="N64:P64" si="21">ROUND(+M64*1.05,2)</f>
        <v>32.25</v>
      </c>
      <c r="O64" s="603">
        <f t="shared" si="21"/>
        <v>33.86</v>
      </c>
      <c r="P64" s="603">
        <f t="shared" si="21"/>
        <v>35.549999999999997</v>
      </c>
      <c r="Q64" s="2" t="s">
        <v>480</v>
      </c>
      <c r="R64" s="552" t="s">
        <v>911</v>
      </c>
      <c r="T64" s="48"/>
    </row>
    <row r="65" spans="1:20">
      <c r="C65" s="344"/>
      <c r="D65" s="602">
        <v>0.03</v>
      </c>
      <c r="E65" s="602">
        <v>0.03</v>
      </c>
      <c r="F65" s="602">
        <v>0.03</v>
      </c>
      <c r="G65" s="602">
        <v>0.03</v>
      </c>
      <c r="H65" s="602">
        <v>0.03</v>
      </c>
      <c r="I65" s="602">
        <v>0.03</v>
      </c>
      <c r="J65" s="602">
        <v>0.03</v>
      </c>
      <c r="K65" s="602">
        <v>0.03</v>
      </c>
      <c r="L65" s="602">
        <v>0.03</v>
      </c>
      <c r="M65" s="602">
        <f>+B51</f>
        <v>3.0209498408328442E-2</v>
      </c>
      <c r="N65" s="602">
        <v>0.05</v>
      </c>
      <c r="O65" s="106">
        <v>0.05</v>
      </c>
      <c r="P65" s="106">
        <v>0.05</v>
      </c>
      <c r="R65" s="28"/>
      <c r="T65" s="28"/>
    </row>
    <row r="66" spans="1:20">
      <c r="A66" s="2">
        <v>8</v>
      </c>
      <c r="B66" s="2" t="s">
        <v>400</v>
      </c>
      <c r="C66" s="344">
        <f>SUM(C112*$B$51)+C112</f>
        <v>23.756631033296053</v>
      </c>
      <c r="D66" s="5">
        <f>ROUND(+C66*1.03,2)</f>
        <v>24.47</v>
      </c>
      <c r="E66" s="5">
        <f t="shared" ref="E66:L66" si="22">ROUND(+D66*1.03,2)</f>
        <v>25.2</v>
      </c>
      <c r="F66" s="5">
        <f t="shared" si="22"/>
        <v>25.96</v>
      </c>
      <c r="G66" s="5">
        <f t="shared" si="22"/>
        <v>26.74</v>
      </c>
      <c r="H66" s="5">
        <f t="shared" si="22"/>
        <v>27.54</v>
      </c>
      <c r="I66" s="5">
        <f t="shared" si="22"/>
        <v>28.37</v>
      </c>
      <c r="J66" s="5">
        <f t="shared" si="22"/>
        <v>29.22</v>
      </c>
      <c r="K66" s="5">
        <f t="shared" si="22"/>
        <v>30.1</v>
      </c>
      <c r="L66" s="5">
        <f t="shared" si="22"/>
        <v>31</v>
      </c>
      <c r="M66" s="5">
        <f>ROUND(+L66*1.05,2)</f>
        <v>32.549999999999997</v>
      </c>
      <c r="N66" s="5">
        <f t="shared" ref="N66:P66" si="23">ROUND(+M66*1.05,2)</f>
        <v>34.18</v>
      </c>
      <c r="O66" s="5">
        <f t="shared" si="23"/>
        <v>35.89</v>
      </c>
      <c r="P66" s="5">
        <f t="shared" si="23"/>
        <v>37.68</v>
      </c>
      <c r="R66" s="24"/>
      <c r="S66" s="24"/>
      <c r="T66" s="24"/>
    </row>
    <row r="67" spans="1:20">
      <c r="C67" s="344"/>
      <c r="D67" s="106">
        <v>0.03</v>
      </c>
      <c r="E67" s="106">
        <v>0.03</v>
      </c>
      <c r="F67" s="106">
        <v>0.03</v>
      </c>
      <c r="G67" s="106">
        <v>0.03</v>
      </c>
      <c r="H67" s="106">
        <v>0.03</v>
      </c>
      <c r="I67" s="106">
        <v>0.03</v>
      </c>
      <c r="J67" s="106">
        <v>0.03</v>
      </c>
      <c r="K67" s="106">
        <v>0.03</v>
      </c>
      <c r="L67" s="106">
        <v>0.03</v>
      </c>
      <c r="M67" s="106">
        <v>0.05</v>
      </c>
      <c r="N67" s="106">
        <v>0.05</v>
      </c>
      <c r="O67" s="106">
        <v>0.05</v>
      </c>
      <c r="P67" s="106">
        <v>0.05</v>
      </c>
    </row>
    <row r="68" spans="1:20">
      <c r="A68" s="2">
        <v>9</v>
      </c>
      <c r="B68" s="2" t="s">
        <v>400</v>
      </c>
      <c r="C68" s="344">
        <f>SUM(C114*$B$51)+C114</f>
        <v>25.178320141099547</v>
      </c>
      <c r="D68" s="5">
        <f>ROUND(+C68*1.03,2)</f>
        <v>25.93</v>
      </c>
      <c r="E68" s="5">
        <f t="shared" ref="E68:L68" si="24">ROUND(+D68*1.03,2)</f>
        <v>26.71</v>
      </c>
      <c r="F68" s="5">
        <f t="shared" si="24"/>
        <v>27.51</v>
      </c>
      <c r="G68" s="5">
        <f t="shared" si="24"/>
        <v>28.34</v>
      </c>
      <c r="H68" s="5">
        <f t="shared" si="24"/>
        <v>29.19</v>
      </c>
      <c r="I68" s="5">
        <f t="shared" si="24"/>
        <v>30.07</v>
      </c>
      <c r="J68" s="5">
        <f t="shared" si="24"/>
        <v>30.97</v>
      </c>
      <c r="K68" s="5">
        <f t="shared" si="24"/>
        <v>31.9</v>
      </c>
      <c r="L68" s="5">
        <f t="shared" si="24"/>
        <v>32.86</v>
      </c>
      <c r="M68" s="5">
        <f>ROUND(+L68*1.05,2)</f>
        <v>34.5</v>
      </c>
      <c r="N68" s="5">
        <f t="shared" ref="N68:P68" si="25">ROUND(+M68*1.05,2)</f>
        <v>36.229999999999997</v>
      </c>
      <c r="O68" s="5">
        <f t="shared" si="25"/>
        <v>38.04</v>
      </c>
      <c r="P68" s="5">
        <f t="shared" si="25"/>
        <v>39.94</v>
      </c>
    </row>
    <row r="69" spans="1:20">
      <c r="D69" s="106">
        <v>0.03</v>
      </c>
      <c r="E69" s="106">
        <v>0.03</v>
      </c>
      <c r="F69" s="106">
        <v>0.03</v>
      </c>
      <c r="G69" s="106">
        <v>0.03</v>
      </c>
      <c r="H69" s="106">
        <v>0.03</v>
      </c>
      <c r="I69" s="106">
        <v>0.03</v>
      </c>
      <c r="J69" s="106">
        <v>0.03</v>
      </c>
      <c r="K69" s="106">
        <v>0.03</v>
      </c>
      <c r="L69" s="106">
        <v>0.03</v>
      </c>
      <c r="M69" s="106">
        <v>0.05</v>
      </c>
      <c r="N69" s="106">
        <v>0.05</v>
      </c>
      <c r="O69" s="106">
        <v>0.05</v>
      </c>
      <c r="P69" s="106">
        <v>0.05</v>
      </c>
    </row>
    <row r="70" spans="1:20" s="17" customFormat="1">
      <c r="H70" s="28"/>
      <c r="I70" s="28"/>
      <c r="J70" s="28"/>
      <c r="K70" s="28"/>
      <c r="L70" s="28"/>
    </row>
    <row r="71" spans="1:20">
      <c r="A71" s="2" t="s">
        <v>484</v>
      </c>
      <c r="H71" s="24"/>
      <c r="I71" s="24"/>
      <c r="J71" s="28"/>
      <c r="K71" s="28"/>
      <c r="L71" s="28"/>
    </row>
    <row r="72" spans="1:20">
      <c r="A72" s="2" t="s">
        <v>485</v>
      </c>
      <c r="H72" s="24"/>
      <c r="I72" s="24"/>
      <c r="J72" s="28"/>
      <c r="K72" s="28"/>
      <c r="L72" s="28"/>
    </row>
    <row r="73" spans="1:20">
      <c r="A73" s="2" t="s">
        <v>688</v>
      </c>
      <c r="H73" s="24"/>
      <c r="I73" s="24"/>
      <c r="J73" s="28"/>
      <c r="K73" s="28"/>
      <c r="L73" s="28"/>
    </row>
    <row r="74" spans="1:20">
      <c r="A74" s="658">
        <v>44958</v>
      </c>
      <c r="B74" s="24">
        <v>185.96799999999999</v>
      </c>
      <c r="E74" s="2" t="s">
        <v>690</v>
      </c>
      <c r="H74" s="24"/>
      <c r="I74" s="24"/>
      <c r="J74" s="28"/>
      <c r="K74" s="28"/>
      <c r="L74" s="28"/>
    </row>
    <row r="75" spans="1:20">
      <c r="A75" s="658">
        <v>44986</v>
      </c>
      <c r="B75" s="24">
        <v>187.30099999999999</v>
      </c>
      <c r="C75" s="932"/>
      <c r="D75" s="654"/>
      <c r="F75" s="2" t="s">
        <v>908</v>
      </c>
      <c r="G75" s="2" t="s">
        <v>104</v>
      </c>
      <c r="H75" s="2" t="s">
        <v>909</v>
      </c>
      <c r="I75" s="2" t="s">
        <v>486</v>
      </c>
      <c r="J75" s="2" t="s">
        <v>487</v>
      </c>
      <c r="K75" s="2" t="s">
        <v>488</v>
      </c>
      <c r="L75" s="2" t="s">
        <v>489</v>
      </c>
      <c r="M75" s="2" t="s">
        <v>490</v>
      </c>
      <c r="N75" s="2" t="s">
        <v>491</v>
      </c>
      <c r="O75" s="2" t="s">
        <v>492</v>
      </c>
      <c r="P75" s="2" t="s">
        <v>150</v>
      </c>
      <c r="Q75" s="2" t="s">
        <v>493</v>
      </c>
      <c r="R75" s="2" t="s">
        <v>494</v>
      </c>
    </row>
    <row r="76" spans="1:20">
      <c r="A76" s="658">
        <v>45017</v>
      </c>
      <c r="B76" s="28">
        <v>188.00800000000001</v>
      </c>
      <c r="C76" s="932"/>
      <c r="D76" s="654"/>
      <c r="F76" s="2">
        <v>2014</v>
      </c>
      <c r="G76" s="24">
        <v>141.99799999999999</v>
      </c>
      <c r="H76" s="24">
        <v>142.12</v>
      </c>
      <c r="I76" s="28">
        <v>142.81299999999999</v>
      </c>
      <c r="J76" s="28">
        <v>143.077</v>
      </c>
      <c r="K76" s="28">
        <v>144.25299999999999</v>
      </c>
      <c r="L76" s="17">
        <v>144.52199999999999</v>
      </c>
      <c r="M76" s="17">
        <v>144.435</v>
      </c>
      <c r="N76" s="2">
        <v>144.31700000000001</v>
      </c>
      <c r="O76" s="2">
        <v>144.506</v>
      </c>
      <c r="P76" s="2">
        <v>144.214</v>
      </c>
      <c r="Q76" s="2">
        <v>143.398</v>
      </c>
      <c r="R76" s="2">
        <v>142.66900000000001</v>
      </c>
    </row>
    <row r="77" spans="1:20">
      <c r="A77" s="658">
        <v>45047</v>
      </c>
      <c r="B77" s="28">
        <v>188.833</v>
      </c>
      <c r="C77" s="932"/>
      <c r="D77" s="654"/>
      <c r="F77" s="2">
        <v>2015</v>
      </c>
      <c r="G77" s="24">
        <v>142.02199999999999</v>
      </c>
      <c r="H77" s="24">
        <v>143.005</v>
      </c>
      <c r="I77" s="28">
        <v>143.887</v>
      </c>
      <c r="J77" s="28">
        <v>144.42599999999999</v>
      </c>
      <c r="K77" s="28">
        <v>145.346</v>
      </c>
      <c r="L77" s="17">
        <v>145.19800000000001</v>
      </c>
      <c r="M77" s="17">
        <v>144.917</v>
      </c>
      <c r="N77" s="2">
        <v>144.75200000000001</v>
      </c>
      <c r="O77" s="2">
        <v>144.50700000000001</v>
      </c>
      <c r="P77" s="2">
        <v>144.37899999999999</v>
      </c>
      <c r="Q77" s="2">
        <v>143.595</v>
      </c>
      <c r="R77" s="2">
        <v>143.398</v>
      </c>
    </row>
    <row r="78" spans="1:20">
      <c r="A78" s="658">
        <v>45078</v>
      </c>
      <c r="B78" s="28">
        <v>189.29499999999999</v>
      </c>
      <c r="C78" s="932"/>
      <c r="D78" s="654"/>
      <c r="F78" s="2">
        <v>2016</v>
      </c>
      <c r="G78" s="24">
        <v>143.93199999999999</v>
      </c>
      <c r="H78" s="24">
        <v>144.12799999999999</v>
      </c>
      <c r="I78" s="28">
        <v>144.26400000000001</v>
      </c>
      <c r="J78" s="28">
        <v>145.12799999999999</v>
      </c>
      <c r="K78" s="28">
        <v>145.94200000000001</v>
      </c>
      <c r="L78" s="17">
        <v>145.86600000000001</v>
      </c>
      <c r="M78" s="17">
        <v>145.85</v>
      </c>
      <c r="N78" s="2">
        <v>145.82900000000001</v>
      </c>
      <c r="O78" s="2">
        <v>146.13</v>
      </c>
      <c r="P78" s="2">
        <v>146.328</v>
      </c>
      <c r="Q78" s="2">
        <v>146.00399999999999</v>
      </c>
      <c r="R78" s="2">
        <v>145.91800000000001</v>
      </c>
    </row>
    <row r="79" spans="1:20">
      <c r="A79" s="658">
        <v>45108</v>
      </c>
      <c r="B79" s="17">
        <v>189.73699999999999</v>
      </c>
      <c r="C79" s="932"/>
      <c r="D79" s="654"/>
      <c r="F79" s="2">
        <v>2017</v>
      </c>
      <c r="G79" s="24">
        <v>146.46899999999999</v>
      </c>
      <c r="H79" s="24">
        <v>147.45099999999999</v>
      </c>
      <c r="I79" s="28">
        <v>147.88</v>
      </c>
      <c r="J79" s="28">
        <v>148.49600000000001</v>
      </c>
      <c r="K79" s="28">
        <v>148.78899999999999</v>
      </c>
      <c r="L79" s="17">
        <v>148.792</v>
      </c>
      <c r="M79" s="17">
        <v>148.691</v>
      </c>
      <c r="N79" s="2">
        <v>149.255</v>
      </c>
      <c r="O79" s="2">
        <v>149.95400000000001</v>
      </c>
      <c r="P79" s="2">
        <v>150.33600000000001</v>
      </c>
      <c r="Q79" s="2">
        <v>150.00299999999999</v>
      </c>
      <c r="R79" s="2">
        <v>149.91999999999999</v>
      </c>
    </row>
    <row r="80" spans="1:20">
      <c r="A80" s="658">
        <v>45139</v>
      </c>
      <c r="B80" s="17">
        <v>190.36799999999999</v>
      </c>
      <c r="C80" s="932"/>
      <c r="D80" s="654"/>
      <c r="F80" s="2">
        <v>2018</v>
      </c>
      <c r="G80" s="24">
        <v>150.56399999999999</v>
      </c>
      <c r="H80" s="24">
        <v>151.19999999999999</v>
      </c>
      <c r="I80" s="28">
        <v>151.702</v>
      </c>
      <c r="J80" s="28">
        <v>152.35</v>
      </c>
      <c r="K80" s="28">
        <v>153.20099999999999</v>
      </c>
      <c r="L80" s="17">
        <v>153.54599999999999</v>
      </c>
      <c r="M80" s="17">
        <v>153.464</v>
      </c>
      <c r="N80" s="2">
        <v>153.797</v>
      </c>
      <c r="O80" s="2">
        <v>154.15799999999999</v>
      </c>
      <c r="P80" s="2">
        <v>154.72900000000001</v>
      </c>
      <c r="Q80" s="2">
        <v>154.625</v>
      </c>
      <c r="R80" s="2">
        <v>154.22800000000001</v>
      </c>
    </row>
    <row r="81" spans="1:30">
      <c r="A81" s="658">
        <v>45170</v>
      </c>
      <c r="B81" s="2">
        <v>191.238</v>
      </c>
      <c r="C81" s="932"/>
      <c r="D81" s="654"/>
      <c r="F81" s="2">
        <v>2019</v>
      </c>
      <c r="G81" s="24">
        <v>154.328</v>
      </c>
      <c r="H81" s="24">
        <v>154.67099999999999</v>
      </c>
      <c r="I81" s="28">
        <v>155.178</v>
      </c>
      <c r="J81" s="28">
        <v>156.523</v>
      </c>
      <c r="K81" s="28">
        <v>157.488</v>
      </c>
      <c r="L81" s="17">
        <v>157.56399999999999</v>
      </c>
      <c r="M81" s="17">
        <v>157.465</v>
      </c>
      <c r="N81" s="2">
        <v>157.654</v>
      </c>
      <c r="O81" s="2">
        <v>157.738</v>
      </c>
      <c r="P81" s="2">
        <v>158.63499999999999</v>
      </c>
      <c r="Q81" s="2">
        <v>158.482</v>
      </c>
      <c r="R81" s="2">
        <v>158.49600000000001</v>
      </c>
    </row>
    <row r="82" spans="1:30">
      <c r="A82" s="658">
        <v>45200</v>
      </c>
      <c r="B82" s="2">
        <v>191.321</v>
      </c>
      <c r="C82" s="932"/>
      <c r="D82" s="654"/>
      <c r="F82" s="2">
        <v>2020</v>
      </c>
      <c r="G82" s="24">
        <v>158.59899999999999</v>
      </c>
      <c r="H82" s="24">
        <v>159.18299999999999</v>
      </c>
      <c r="I82" s="28">
        <v>159.12899999999999</v>
      </c>
      <c r="J82" s="28">
        <v>158.82400000000001</v>
      </c>
      <c r="K82" s="28">
        <v>158.30099999999999</v>
      </c>
      <c r="L82" s="17">
        <v>158.857</v>
      </c>
      <c r="M82" s="17">
        <v>159.75200000000001</v>
      </c>
      <c r="N82" s="2">
        <v>160.52799999999999</v>
      </c>
      <c r="O82" s="2">
        <v>160.846</v>
      </c>
      <c r="P82" s="2">
        <v>161.14099999999999</v>
      </c>
      <c r="Q82" s="2">
        <v>161.06899999999999</v>
      </c>
      <c r="R82" s="2">
        <v>160.84</v>
      </c>
    </row>
    <row r="83" spans="1:30">
      <c r="A83" s="658">
        <v>45231</v>
      </c>
      <c r="B83" s="17">
        <v>190.40899999999999</v>
      </c>
      <c r="C83" s="932"/>
      <c r="D83" s="654"/>
      <c r="F83" s="2">
        <v>2021</v>
      </c>
      <c r="G83" s="24">
        <v>161.19900000000001</v>
      </c>
      <c r="H83" s="24">
        <v>162.042</v>
      </c>
      <c r="I83" s="28">
        <v>163.25700000000001</v>
      </c>
      <c r="J83" s="28">
        <v>165.08799999999999</v>
      </c>
      <c r="K83" s="28">
        <v>166.81299999999999</v>
      </c>
      <c r="L83" s="17">
        <v>168.42500000000001</v>
      </c>
      <c r="M83" s="17">
        <v>169.267</v>
      </c>
      <c r="N83" s="2">
        <v>169.477</v>
      </c>
      <c r="O83" s="2">
        <v>169.977</v>
      </c>
      <c r="P83" s="2">
        <v>171.226</v>
      </c>
      <c r="Q83" s="2">
        <v>172.214</v>
      </c>
      <c r="R83" s="2">
        <v>172.72200000000001</v>
      </c>
    </row>
    <row r="84" spans="1:30">
      <c r="A84" s="658">
        <v>45261</v>
      </c>
      <c r="B84" s="17">
        <v>190.095</v>
      </c>
      <c r="C84" s="932"/>
      <c r="D84" s="654"/>
      <c r="F84" s="2">
        <v>2022</v>
      </c>
      <c r="G84" s="24">
        <v>174.26900000000001</v>
      </c>
      <c r="H84" s="24">
        <v>175.89</v>
      </c>
      <c r="I84" s="28">
        <v>178.01900000000001</v>
      </c>
      <c r="J84" s="28">
        <v>179.339</v>
      </c>
      <c r="K84" s="28">
        <v>180.81</v>
      </c>
      <c r="L84" s="17">
        <v>182.79</v>
      </c>
      <c r="M84" s="17">
        <v>183.27699999999999</v>
      </c>
      <c r="N84" s="2">
        <v>183.54300000000001</v>
      </c>
      <c r="O84" s="2">
        <v>184.08799999999999</v>
      </c>
      <c r="P84" s="2">
        <v>185.41</v>
      </c>
      <c r="Q84" s="2">
        <v>184.626</v>
      </c>
      <c r="R84" s="2">
        <v>183.68600000000001</v>
      </c>
    </row>
    <row r="85" spans="1:30">
      <c r="A85" s="658">
        <v>45292</v>
      </c>
      <c r="B85" s="17">
        <v>191.58600000000001</v>
      </c>
      <c r="C85" s="932"/>
      <c r="D85" s="654"/>
      <c r="F85" s="2">
        <v>2023</v>
      </c>
      <c r="G85" s="24">
        <v>184.71700000000001</v>
      </c>
      <c r="H85" s="638">
        <v>185.96799999999999</v>
      </c>
      <c r="I85" s="638">
        <v>187.30099999999999</v>
      </c>
      <c r="J85" s="638">
        <v>188.00800000000001</v>
      </c>
      <c r="K85" s="638">
        <v>188.833</v>
      </c>
      <c r="L85" s="642">
        <v>189.29499999999999</v>
      </c>
      <c r="M85" s="642">
        <v>189.73699999999999</v>
      </c>
      <c r="N85" s="642">
        <v>190.36799999999999</v>
      </c>
      <c r="O85" s="642">
        <v>191.238</v>
      </c>
      <c r="P85" s="642">
        <v>191.321</v>
      </c>
      <c r="Q85" s="642">
        <v>190.40899999999999</v>
      </c>
      <c r="R85" s="642">
        <v>190.095</v>
      </c>
    </row>
    <row r="86" spans="1:30">
      <c r="A86" s="25" t="s">
        <v>907</v>
      </c>
      <c r="B86" s="389">
        <f>SUM(B85-B74)/B74</f>
        <v>3.0209498408328442E-2</v>
      </c>
      <c r="C86" s="931"/>
      <c r="F86" s="2">
        <v>2024</v>
      </c>
      <c r="G86" s="638">
        <v>191.58600000000001</v>
      </c>
      <c r="H86" s="24"/>
      <c r="I86" s="28"/>
      <c r="J86" s="28"/>
      <c r="K86" s="28"/>
      <c r="N86" s="2"/>
    </row>
    <row r="87" spans="1:30">
      <c r="B87" s="2" t="s">
        <v>689</v>
      </c>
      <c r="H87" s="24"/>
      <c r="I87" s="24"/>
      <c r="J87" s="28"/>
      <c r="K87" s="28"/>
      <c r="L87" s="28"/>
    </row>
    <row r="88" spans="1:30">
      <c r="H88" s="24"/>
      <c r="I88" s="24"/>
      <c r="J88" s="28"/>
      <c r="K88" s="28"/>
      <c r="L88" s="28"/>
    </row>
    <row r="89" spans="1:30">
      <c r="D89" s="24"/>
      <c r="E89" s="28"/>
      <c r="F89" s="28"/>
      <c r="G89" s="28"/>
      <c r="H89" s="17"/>
      <c r="I89" s="17"/>
      <c r="J89" s="2"/>
      <c r="K89" s="2"/>
      <c r="L89" s="2"/>
      <c r="M89" s="2"/>
      <c r="N89" s="2"/>
    </row>
    <row r="90" spans="1:30">
      <c r="H90" s="24"/>
      <c r="I90" s="24"/>
      <c r="J90" s="28"/>
      <c r="K90" s="28"/>
      <c r="L90" s="28"/>
    </row>
    <row r="91" spans="1:30">
      <c r="H91" s="24"/>
      <c r="I91" s="24"/>
      <c r="J91" s="28"/>
      <c r="K91" s="28"/>
      <c r="L91" s="28"/>
    </row>
    <row r="92" spans="1:30">
      <c r="H92" s="24"/>
      <c r="I92" s="24"/>
      <c r="J92" s="28"/>
      <c r="K92" s="28"/>
      <c r="L92" s="28"/>
    </row>
    <row r="93" spans="1:30">
      <c r="H93" s="24"/>
      <c r="I93" s="24"/>
      <c r="J93" s="28"/>
      <c r="K93" s="28"/>
      <c r="L93" s="28"/>
    </row>
    <row r="94" spans="1:30">
      <c r="H94" s="24"/>
      <c r="I94" s="24"/>
      <c r="J94" s="28"/>
      <c r="K94" s="28"/>
      <c r="L94" s="28"/>
    </row>
    <row r="95" spans="1:30">
      <c r="H95" s="24"/>
      <c r="I95" s="24"/>
      <c r="J95" s="28"/>
      <c r="K95" s="28"/>
      <c r="L95" s="28"/>
    </row>
    <row r="96" spans="1:30">
      <c r="B96" s="25" t="s">
        <v>382</v>
      </c>
      <c r="C96" s="17" t="s">
        <v>467</v>
      </c>
      <c r="D96" s="17"/>
      <c r="E96" s="17"/>
      <c r="F96" s="17"/>
      <c r="G96" s="17"/>
      <c r="H96" s="469" t="s">
        <v>383</v>
      </c>
      <c r="I96" s="2" t="s">
        <v>468</v>
      </c>
      <c r="J96" s="2"/>
      <c r="K96" s="2"/>
      <c r="L96" s="2"/>
      <c r="M96" s="2"/>
      <c r="N96" s="2"/>
      <c r="R96" s="28"/>
      <c r="S96" s="28"/>
      <c r="T96" s="28"/>
      <c r="U96" s="24"/>
      <c r="V96" s="24"/>
      <c r="W96" s="24"/>
      <c r="X96" s="24"/>
      <c r="Y96" s="24"/>
      <c r="Z96" s="24"/>
      <c r="AA96" s="24"/>
      <c r="AB96" s="24"/>
      <c r="AC96" s="24"/>
      <c r="AD96" s="24"/>
    </row>
    <row r="97" spans="1:30">
      <c r="A97" s="561">
        <f>+A131</f>
        <v>4.7786614117812792E-2</v>
      </c>
      <c r="C97" s="2" t="s">
        <v>384</v>
      </c>
      <c r="D97" s="2" t="s">
        <v>385</v>
      </c>
      <c r="E97" s="2" t="s">
        <v>386</v>
      </c>
      <c r="F97" s="2" t="s">
        <v>387</v>
      </c>
      <c r="G97" s="2" t="s">
        <v>388</v>
      </c>
      <c r="H97" s="2" t="s">
        <v>389</v>
      </c>
      <c r="I97" s="2" t="s">
        <v>390</v>
      </c>
      <c r="J97" s="2" t="s">
        <v>391</v>
      </c>
      <c r="K97" s="2" t="s">
        <v>392</v>
      </c>
      <c r="L97" s="2" t="s">
        <v>393</v>
      </c>
      <c r="M97" s="2" t="s">
        <v>394</v>
      </c>
      <c r="N97" s="2" t="s">
        <v>395</v>
      </c>
      <c r="O97" s="2" t="s">
        <v>396</v>
      </c>
      <c r="P97" s="2" t="s">
        <v>397</v>
      </c>
      <c r="R97" s="28"/>
      <c r="S97" s="2" t="s">
        <v>469</v>
      </c>
      <c r="T97" s="28"/>
      <c r="U97" s="24"/>
      <c r="V97" s="24"/>
      <c r="W97" s="24"/>
      <c r="X97" s="24"/>
      <c r="Y97" s="24"/>
      <c r="Z97" s="24"/>
      <c r="AA97" s="24"/>
      <c r="AB97" s="24"/>
      <c r="AC97" s="24"/>
      <c r="AD97" s="24"/>
    </row>
    <row r="98" spans="1:30">
      <c r="A98" s="2">
        <v>1</v>
      </c>
      <c r="B98" s="2" t="s">
        <v>399</v>
      </c>
      <c r="C98" s="344">
        <v>15.34</v>
      </c>
      <c r="D98" s="563">
        <v>15.8002</v>
      </c>
      <c r="E98" s="344">
        <v>16.274206</v>
      </c>
      <c r="F98" s="344">
        <v>16.762432180000001</v>
      </c>
      <c r="G98" s="344">
        <v>17.265305145400003</v>
      </c>
      <c r="H98" s="344">
        <v>17.783264299762003</v>
      </c>
      <c r="I98" s="344">
        <v>18.316762228754865</v>
      </c>
      <c r="J98" s="646">
        <v>18.866265095617511</v>
      </c>
      <c r="K98" s="344">
        <v>19.432253048486036</v>
      </c>
      <c r="L98" s="344">
        <v>20.015220639940619</v>
      </c>
      <c r="M98" s="5">
        <v>21.015981671937652</v>
      </c>
      <c r="N98" s="5">
        <v>22.066780755534534</v>
      </c>
      <c r="O98" s="5">
        <v>23.170119793311262</v>
      </c>
      <c r="P98" s="5">
        <v>24.328625782976825</v>
      </c>
      <c r="Q98" s="2" t="s">
        <v>470</v>
      </c>
      <c r="R98" s="56"/>
      <c r="S98" s="2" t="s">
        <v>471</v>
      </c>
      <c r="T98" s="28"/>
      <c r="U98" s="24"/>
      <c r="V98" s="24"/>
      <c r="W98" s="24"/>
      <c r="X98" s="24"/>
      <c r="Y98" s="24"/>
      <c r="Z98" s="24"/>
      <c r="AA98" s="24"/>
      <c r="AB98" s="24"/>
      <c r="AC98" s="24"/>
      <c r="AD98" s="24"/>
    </row>
    <row r="99" spans="1:30">
      <c r="C99" s="344"/>
      <c r="D99" s="106">
        <v>0.03</v>
      </c>
      <c r="E99" s="106">
        <v>0.03</v>
      </c>
      <c r="F99" s="106">
        <v>0.03</v>
      </c>
      <c r="G99" s="106">
        <v>0.03</v>
      </c>
      <c r="H99" s="106">
        <v>0.03</v>
      </c>
      <c r="I99" s="106">
        <v>0.03</v>
      </c>
      <c r="J99" s="106">
        <v>0.03</v>
      </c>
      <c r="K99" s="106">
        <v>0.03</v>
      </c>
      <c r="L99" s="106">
        <v>0.03</v>
      </c>
      <c r="M99" s="106">
        <v>0.05</v>
      </c>
      <c r="N99" s="106">
        <v>0.05</v>
      </c>
      <c r="O99" s="106">
        <v>0.05</v>
      </c>
      <c r="P99" s="106">
        <v>0.05</v>
      </c>
      <c r="R99" s="28"/>
      <c r="S99" s="2" t="s">
        <v>472</v>
      </c>
      <c r="T99" s="28"/>
      <c r="U99" s="24"/>
      <c r="V99" s="24"/>
      <c r="W99" s="24"/>
      <c r="X99" s="24"/>
      <c r="Y99" s="24"/>
      <c r="Z99" s="24"/>
      <c r="AA99" s="24"/>
      <c r="AB99" s="24"/>
      <c r="AC99" s="24"/>
      <c r="AD99" s="24"/>
    </row>
    <row r="100" spans="1:30">
      <c r="A100" s="2">
        <v>2</v>
      </c>
      <c r="B100" s="2" t="s">
        <v>400</v>
      </c>
      <c r="C100" s="344">
        <v>16.260000000000002</v>
      </c>
      <c r="D100" s="5">
        <v>16.747800000000002</v>
      </c>
      <c r="E100" s="344">
        <v>17.250234000000003</v>
      </c>
      <c r="F100" s="344">
        <v>17.767741020000003</v>
      </c>
      <c r="G100" s="344">
        <v>18.300773250600002</v>
      </c>
      <c r="H100" s="344">
        <v>18.849796448118003</v>
      </c>
      <c r="I100" s="344">
        <v>19.415290341561544</v>
      </c>
      <c r="J100" s="344">
        <v>19.997749051808391</v>
      </c>
      <c r="K100" s="344">
        <v>20.597681523362642</v>
      </c>
      <c r="L100" s="344">
        <v>21.21561196906352</v>
      </c>
      <c r="M100" s="5">
        <v>22.276392567516698</v>
      </c>
      <c r="N100" s="5">
        <v>23.390212195892534</v>
      </c>
      <c r="O100" s="5">
        <v>24.559722805687162</v>
      </c>
      <c r="P100" s="5">
        <v>25.78770894597152</v>
      </c>
      <c r="R100" s="28"/>
      <c r="S100" s="2" t="s">
        <v>473</v>
      </c>
      <c r="T100" s="28"/>
      <c r="U100" s="24"/>
      <c r="V100" s="24"/>
      <c r="W100" s="24"/>
      <c r="X100" s="24"/>
      <c r="Y100" s="24"/>
      <c r="Z100" s="24"/>
      <c r="AA100" s="24"/>
      <c r="AB100" s="24"/>
      <c r="AC100" s="24"/>
      <c r="AD100" s="24"/>
    </row>
    <row r="101" spans="1:30">
      <c r="C101" s="344"/>
      <c r="D101" s="106">
        <v>0.03</v>
      </c>
      <c r="E101" s="106">
        <v>0.03</v>
      </c>
      <c r="F101" s="106">
        <v>0.03</v>
      </c>
      <c r="G101" s="106">
        <v>0.03</v>
      </c>
      <c r="H101" s="106">
        <v>0.03</v>
      </c>
      <c r="I101" s="106">
        <v>0.03</v>
      </c>
      <c r="J101" s="106">
        <v>0.03</v>
      </c>
      <c r="K101" s="106">
        <v>0.03</v>
      </c>
      <c r="L101" s="106">
        <v>0.03</v>
      </c>
      <c r="M101" s="106">
        <v>0.05</v>
      </c>
      <c r="N101" s="106">
        <v>0.05</v>
      </c>
      <c r="O101" s="106">
        <v>0.05</v>
      </c>
      <c r="P101" s="106">
        <v>0.05</v>
      </c>
      <c r="R101" s="28"/>
      <c r="S101" s="2" t="s">
        <v>474</v>
      </c>
      <c r="T101" s="28"/>
      <c r="U101" s="24"/>
      <c r="V101" s="24"/>
      <c r="W101" s="24"/>
      <c r="X101" s="24"/>
      <c r="Y101" s="24"/>
      <c r="Z101" s="24"/>
      <c r="AA101" s="24"/>
      <c r="AB101" s="24"/>
      <c r="AC101" s="24"/>
      <c r="AD101" s="24"/>
    </row>
    <row r="102" spans="1:30">
      <c r="A102" s="2">
        <v>3</v>
      </c>
      <c r="B102" s="2" t="s">
        <v>401</v>
      </c>
      <c r="C102" s="344">
        <v>17.239999999999998</v>
      </c>
      <c r="D102" s="563">
        <v>17.75</v>
      </c>
      <c r="E102" s="344">
        <v>18.289915999999998</v>
      </c>
      <c r="F102" s="344">
        <v>18.838613479999999</v>
      </c>
      <c r="G102" s="344">
        <v>19.403771884400001</v>
      </c>
      <c r="H102" s="344">
        <v>19.985885040932001</v>
      </c>
      <c r="I102" s="344">
        <v>20.585461592159962</v>
      </c>
      <c r="J102" s="344">
        <v>21.203025439924762</v>
      </c>
      <c r="K102" s="344">
        <v>21.839116203122504</v>
      </c>
      <c r="L102" s="344">
        <v>22.494289689216181</v>
      </c>
      <c r="M102" s="5">
        <v>23.619004173676991</v>
      </c>
      <c r="N102" s="5">
        <v>24.799954382360841</v>
      </c>
      <c r="O102" s="5">
        <v>26.039952101478885</v>
      </c>
      <c r="P102" s="5">
        <v>27.341949706552832</v>
      </c>
      <c r="Q102" s="2" t="s">
        <v>475</v>
      </c>
      <c r="R102" s="28"/>
      <c r="S102" s="2" t="s">
        <v>476</v>
      </c>
      <c r="T102" s="28"/>
      <c r="U102" s="24"/>
      <c r="V102" s="24"/>
      <c r="W102" s="24"/>
      <c r="X102" s="24"/>
      <c r="Y102" s="24"/>
      <c r="Z102" s="24"/>
      <c r="AA102" s="24"/>
      <c r="AB102" s="24"/>
      <c r="AC102" s="24"/>
      <c r="AD102" s="24"/>
    </row>
    <row r="103" spans="1:30">
      <c r="C103" s="344"/>
      <c r="D103" s="106">
        <v>0.03</v>
      </c>
      <c r="E103" s="106">
        <v>0.03</v>
      </c>
      <c r="F103" s="106">
        <v>0.03</v>
      </c>
      <c r="G103" s="106">
        <v>0.03</v>
      </c>
      <c r="H103" s="106">
        <v>0.03</v>
      </c>
      <c r="I103" s="106">
        <v>0.03</v>
      </c>
      <c r="J103" s="106">
        <v>0.03</v>
      </c>
      <c r="K103" s="106">
        <v>0.03</v>
      </c>
      <c r="L103" s="106">
        <v>0.03</v>
      </c>
      <c r="M103" s="106">
        <v>0.05</v>
      </c>
      <c r="N103" s="106">
        <v>0.05</v>
      </c>
      <c r="O103" s="106">
        <v>0.05</v>
      </c>
      <c r="P103" s="106">
        <v>0.05</v>
      </c>
      <c r="R103" s="28"/>
      <c r="S103" s="2" t="s">
        <v>477</v>
      </c>
      <c r="T103" s="28"/>
      <c r="U103" s="24"/>
      <c r="V103" s="24"/>
      <c r="W103" s="24"/>
      <c r="X103" s="24"/>
      <c r="Y103" s="24"/>
      <c r="Z103" s="24"/>
      <c r="AA103" s="24"/>
      <c r="AB103" s="24"/>
      <c r="AC103" s="24"/>
      <c r="AD103" s="24"/>
    </row>
    <row r="104" spans="1:30">
      <c r="A104" s="2">
        <v>4</v>
      </c>
      <c r="B104" s="2" t="s">
        <v>402</v>
      </c>
      <c r="C104" s="344">
        <v>18.27</v>
      </c>
      <c r="D104" s="5">
        <v>18.818100000000001</v>
      </c>
      <c r="E104" s="344">
        <v>19.382643000000002</v>
      </c>
      <c r="F104" s="344">
        <v>19.964122290000002</v>
      </c>
      <c r="G104" s="563">
        <v>20.563045958700002</v>
      </c>
      <c r="H104" s="344">
        <v>21.179937337461002</v>
      </c>
      <c r="I104" s="344">
        <v>21.815335457584833</v>
      </c>
      <c r="J104" s="344">
        <v>22.469795521312378</v>
      </c>
      <c r="K104" s="344">
        <v>23.143889386951749</v>
      </c>
      <c r="L104" s="344">
        <v>23.8382060685603</v>
      </c>
      <c r="M104" s="5">
        <v>25.030116371988317</v>
      </c>
      <c r="N104" s="5">
        <v>26.281622190587733</v>
      </c>
      <c r="O104" s="5">
        <v>27.595703300117119</v>
      </c>
      <c r="P104" s="5">
        <v>28.975488465122975</v>
      </c>
      <c r="Q104" s="2" t="s">
        <v>478</v>
      </c>
      <c r="R104" s="28"/>
      <c r="S104" s="28"/>
      <c r="T104" s="28"/>
      <c r="U104" s="24"/>
      <c r="V104" s="24"/>
      <c r="W104" s="24"/>
      <c r="X104" s="24"/>
      <c r="Y104" s="24"/>
      <c r="Z104" s="24"/>
      <c r="AA104" s="24"/>
      <c r="AB104" s="24"/>
      <c r="AC104" s="24"/>
      <c r="AD104" s="24"/>
    </row>
    <row r="105" spans="1:30">
      <c r="C105" s="344"/>
      <c r="D105" s="106">
        <v>0.03</v>
      </c>
      <c r="E105" s="106">
        <v>0.03</v>
      </c>
      <c r="F105" s="106">
        <v>0.03</v>
      </c>
      <c r="G105" s="106">
        <v>0.03</v>
      </c>
      <c r="H105" s="106">
        <v>0.03</v>
      </c>
      <c r="I105" s="106">
        <v>0.03</v>
      </c>
      <c r="J105" s="106">
        <v>0.03</v>
      </c>
      <c r="K105" s="106">
        <v>0.03</v>
      </c>
      <c r="L105" s="106">
        <v>0.03</v>
      </c>
      <c r="M105" s="106">
        <v>0.05</v>
      </c>
      <c r="N105" s="106">
        <v>0.05</v>
      </c>
      <c r="O105" s="106">
        <v>0.05</v>
      </c>
      <c r="P105" s="106">
        <v>0.05</v>
      </c>
      <c r="R105" s="28"/>
      <c r="S105" s="28"/>
      <c r="T105" s="28"/>
      <c r="U105" s="24"/>
      <c r="V105" s="24"/>
      <c r="W105" s="24"/>
      <c r="X105" s="24"/>
      <c r="Y105" s="24"/>
      <c r="Z105" s="24"/>
      <c r="AA105" s="24"/>
      <c r="AB105" s="24"/>
      <c r="AC105" s="24"/>
      <c r="AD105" s="24"/>
    </row>
    <row r="106" spans="1:30">
      <c r="A106" s="2">
        <v>5</v>
      </c>
      <c r="B106" s="2" t="s">
        <v>403</v>
      </c>
      <c r="C106" s="344">
        <v>19.350000000000001</v>
      </c>
      <c r="D106" s="5">
        <v>19.93</v>
      </c>
      <c r="E106" s="344">
        <v>20.528415000000003</v>
      </c>
      <c r="F106" s="563">
        <v>21.144267450000005</v>
      </c>
      <c r="G106" s="344">
        <v>21.778595473500005</v>
      </c>
      <c r="H106" s="344">
        <v>22.431953337705007</v>
      </c>
      <c r="I106" s="344">
        <v>23.104911937836157</v>
      </c>
      <c r="J106" s="344">
        <v>23.798059295971242</v>
      </c>
      <c r="K106" s="344">
        <v>24.512001074850382</v>
      </c>
      <c r="L106" s="344">
        <v>25.247361107095895</v>
      </c>
      <c r="M106" s="5">
        <v>26.509729162450689</v>
      </c>
      <c r="N106" s="5">
        <v>27.835215620573226</v>
      </c>
      <c r="O106" s="5">
        <v>29.226976401601888</v>
      </c>
      <c r="P106" s="5">
        <v>30.688325221681986</v>
      </c>
      <c r="Q106" s="2" t="s">
        <v>479</v>
      </c>
      <c r="R106" s="28"/>
      <c r="S106" s="28"/>
      <c r="T106" s="28"/>
      <c r="U106" s="24"/>
      <c r="V106" s="24"/>
      <c r="W106" s="24"/>
      <c r="X106" s="24"/>
      <c r="Y106" s="24"/>
      <c r="Z106" s="24"/>
      <c r="AA106" s="24"/>
      <c r="AB106" s="24"/>
      <c r="AC106" s="24"/>
      <c r="AD106" s="24"/>
    </row>
    <row r="107" spans="1:30" ht="15" customHeight="1">
      <c r="C107" s="344"/>
      <c r="D107" s="106">
        <v>0.03</v>
      </c>
      <c r="E107" s="106">
        <v>0.03</v>
      </c>
      <c r="F107" s="106">
        <v>0.03</v>
      </c>
      <c r="G107" s="106">
        <v>0.03</v>
      </c>
      <c r="H107" s="106">
        <v>0.03</v>
      </c>
      <c r="I107" s="106">
        <v>0.03</v>
      </c>
      <c r="J107" s="106">
        <v>0.03</v>
      </c>
      <c r="K107" s="106">
        <v>0.03</v>
      </c>
      <c r="L107" s="106">
        <v>0.03</v>
      </c>
      <c r="M107" s="106">
        <v>0.05</v>
      </c>
      <c r="N107" s="106">
        <v>0.05</v>
      </c>
      <c r="O107" s="106">
        <v>0.05</v>
      </c>
      <c r="P107" s="106">
        <v>0.05</v>
      </c>
      <c r="R107" s="28"/>
      <c r="S107" s="28"/>
      <c r="T107" s="28"/>
      <c r="U107" s="24"/>
      <c r="V107" s="24"/>
      <c r="W107" s="24"/>
      <c r="X107" s="24"/>
      <c r="Y107" s="24"/>
      <c r="Z107" s="24"/>
      <c r="AA107" s="24"/>
      <c r="AB107" s="24"/>
      <c r="AC107" s="24"/>
      <c r="AD107" s="24"/>
    </row>
    <row r="108" spans="1:30" ht="15" customHeight="1">
      <c r="A108" s="2">
        <v>6</v>
      </c>
      <c r="B108" s="2" t="s">
        <v>400</v>
      </c>
      <c r="C108" s="344">
        <v>20.53</v>
      </c>
      <c r="D108" s="5">
        <v>21.145900000000001</v>
      </c>
      <c r="E108" s="344">
        <v>21.780277000000002</v>
      </c>
      <c r="F108" s="344">
        <v>22.433685310000001</v>
      </c>
      <c r="G108" s="344">
        <v>23.106695869300001</v>
      </c>
      <c r="H108" s="344">
        <v>23.799896745379002</v>
      </c>
      <c r="I108" s="344">
        <v>24.513893647740371</v>
      </c>
      <c r="J108" s="344">
        <v>25.249310457172584</v>
      </c>
      <c r="K108" s="344">
        <v>26.00678977088776</v>
      </c>
      <c r="L108" s="344">
        <v>26.786993464014394</v>
      </c>
      <c r="M108" s="5">
        <v>28.126343137215116</v>
      </c>
      <c r="N108" s="5">
        <v>29.532660294075875</v>
      </c>
      <c r="O108" s="5">
        <v>31.009293308779668</v>
      </c>
      <c r="P108" s="5">
        <v>32.559757974218655</v>
      </c>
      <c r="R108" s="28"/>
      <c r="S108" s="28"/>
      <c r="T108" s="28"/>
      <c r="U108" s="24"/>
      <c r="V108" s="24"/>
      <c r="W108" s="24"/>
      <c r="X108" s="24"/>
      <c r="Y108" s="24"/>
      <c r="Z108" s="24"/>
      <c r="AA108" s="24"/>
      <c r="AB108" s="24"/>
      <c r="AC108" s="24"/>
      <c r="AD108" s="24"/>
    </row>
    <row r="109" spans="1:30" ht="15" customHeight="1">
      <c r="C109" s="344"/>
      <c r="D109" s="106">
        <v>0.03</v>
      </c>
      <c r="E109" s="106">
        <v>0.03</v>
      </c>
      <c r="F109" s="106">
        <v>0.03</v>
      </c>
      <c r="G109" s="106">
        <v>0.03</v>
      </c>
      <c r="H109" s="106">
        <v>0.03</v>
      </c>
      <c r="I109" s="106">
        <v>0.03</v>
      </c>
      <c r="J109" s="106">
        <v>0.03</v>
      </c>
      <c r="K109" s="106">
        <v>0.03</v>
      </c>
      <c r="L109" s="106">
        <v>0.03</v>
      </c>
      <c r="M109" s="106">
        <v>0.05</v>
      </c>
      <c r="N109" s="106">
        <v>0.05</v>
      </c>
      <c r="O109" s="106">
        <v>0.05</v>
      </c>
      <c r="P109" s="106">
        <v>0.05</v>
      </c>
      <c r="R109" s="28"/>
      <c r="S109" s="28"/>
      <c r="T109" s="28"/>
      <c r="U109" s="24"/>
      <c r="V109" s="24"/>
      <c r="W109" s="24"/>
      <c r="X109" s="24"/>
      <c r="Y109" s="24"/>
      <c r="Z109" s="24"/>
      <c r="AA109" s="24"/>
      <c r="AB109" s="24"/>
      <c r="AC109" s="24"/>
      <c r="AD109" s="24"/>
    </row>
    <row r="110" spans="1:30" ht="15" customHeight="1">
      <c r="A110" s="2">
        <v>7</v>
      </c>
      <c r="B110" s="2" t="s">
        <v>404</v>
      </c>
      <c r="C110" s="344">
        <v>21.76</v>
      </c>
      <c r="D110" s="5">
        <v>22.412800000000001</v>
      </c>
      <c r="E110" s="344">
        <v>23.085184000000002</v>
      </c>
      <c r="F110" s="344">
        <v>23.777739520000001</v>
      </c>
      <c r="G110" s="344">
        <v>24.491071705600003</v>
      </c>
      <c r="H110" s="344">
        <v>25.225803856768003</v>
      </c>
      <c r="I110" s="344">
        <v>25.982577972471045</v>
      </c>
      <c r="J110" s="344">
        <v>26.762055311645177</v>
      </c>
      <c r="K110" s="344">
        <v>27.564916970994535</v>
      </c>
      <c r="L110" s="344">
        <v>28.391864480124372</v>
      </c>
      <c r="M110" s="564">
        <v>29.811457704130593</v>
      </c>
      <c r="N110" s="5">
        <v>31.302030589337125</v>
      </c>
      <c r="O110" s="5">
        <v>32.86713211880398</v>
      </c>
      <c r="P110" s="5">
        <v>34.510488724744178</v>
      </c>
      <c r="Q110" s="2" t="s">
        <v>480</v>
      </c>
      <c r="R110" s="552" t="s">
        <v>481</v>
      </c>
      <c r="T110" s="2">
        <f>2007+15</f>
        <v>2022</v>
      </c>
      <c r="U110" s="2" t="s">
        <v>482</v>
      </c>
      <c r="V110" s="2">
        <f>2007+20</f>
        <v>2027</v>
      </c>
      <c r="W110" s="2" t="s">
        <v>483</v>
      </c>
      <c r="X110" s="24"/>
      <c r="Y110" s="24"/>
      <c r="Z110" s="24"/>
      <c r="AA110" s="24"/>
      <c r="AB110" s="24"/>
      <c r="AC110" s="24"/>
      <c r="AD110" s="24"/>
    </row>
    <row r="111" spans="1:30" ht="15" customHeight="1">
      <c r="C111" s="344"/>
      <c r="D111" s="106">
        <v>0.03</v>
      </c>
      <c r="E111" s="106">
        <v>0.03</v>
      </c>
      <c r="F111" s="106">
        <v>0.03</v>
      </c>
      <c r="G111" s="106">
        <v>0.03</v>
      </c>
      <c r="H111" s="106">
        <v>0.03</v>
      </c>
      <c r="I111" s="106">
        <v>0.03</v>
      </c>
      <c r="J111" s="106">
        <v>0.03</v>
      </c>
      <c r="K111" s="106">
        <v>0.03</v>
      </c>
      <c r="L111" s="106">
        <v>0.03</v>
      </c>
      <c r="M111" s="106">
        <v>0.05</v>
      </c>
      <c r="N111" s="106">
        <v>0.05</v>
      </c>
      <c r="O111" s="106">
        <v>0.05</v>
      </c>
      <c r="P111" s="106">
        <v>0.05</v>
      </c>
      <c r="R111" s="28"/>
      <c r="S111" s="56"/>
      <c r="T111" s="28"/>
      <c r="U111" s="24"/>
      <c r="V111" s="24"/>
      <c r="W111" s="24"/>
      <c r="X111" s="24"/>
      <c r="Y111" s="24"/>
      <c r="Z111" s="24"/>
      <c r="AA111" s="24"/>
      <c r="AB111" s="24"/>
      <c r="AC111" s="24"/>
      <c r="AD111" s="24"/>
    </row>
    <row r="112" spans="1:30" ht="15" customHeight="1">
      <c r="A112" s="2">
        <v>8</v>
      </c>
      <c r="B112" s="2" t="s">
        <v>400</v>
      </c>
      <c r="C112" s="344">
        <v>23.06</v>
      </c>
      <c r="D112" s="5">
        <v>23.751799999999999</v>
      </c>
      <c r="E112" s="344">
        <v>24.464354</v>
      </c>
      <c r="F112" s="344">
        <v>25.198284620000003</v>
      </c>
      <c r="G112" s="344">
        <v>25.954233158600005</v>
      </c>
      <c r="H112" s="344">
        <v>26.732860153358004</v>
      </c>
      <c r="I112" s="344">
        <v>27.534845957958744</v>
      </c>
      <c r="J112" s="344">
        <v>28.360891336697506</v>
      </c>
      <c r="K112" s="344">
        <v>29.21171807679843</v>
      </c>
      <c r="L112" s="344">
        <v>30.088069619102384</v>
      </c>
      <c r="M112" s="5">
        <v>31.592473100057504</v>
      </c>
      <c r="N112" s="5">
        <v>33.17209675506038</v>
      </c>
      <c r="O112" s="5">
        <v>34.830701592813398</v>
      </c>
      <c r="P112" s="5">
        <v>36.572236672454068</v>
      </c>
      <c r="R112" s="24"/>
      <c r="S112" s="24"/>
      <c r="T112" s="24"/>
      <c r="U112" s="24"/>
    </row>
    <row r="113" spans="1:16" ht="15" customHeight="1">
      <c r="C113" s="344"/>
      <c r="D113" s="106">
        <v>0.03</v>
      </c>
      <c r="E113" s="106">
        <v>0.03</v>
      </c>
      <c r="F113" s="106">
        <v>0.03</v>
      </c>
      <c r="G113" s="106">
        <v>0.03</v>
      </c>
      <c r="H113" s="106">
        <v>0.03</v>
      </c>
      <c r="I113" s="106">
        <v>0.03</v>
      </c>
      <c r="J113" s="106">
        <v>0.03</v>
      </c>
      <c r="K113" s="106">
        <v>0.03</v>
      </c>
      <c r="L113" s="106">
        <v>0.03</v>
      </c>
      <c r="M113" s="106">
        <v>0.05</v>
      </c>
      <c r="N113" s="106">
        <v>0.05</v>
      </c>
      <c r="O113" s="106">
        <v>0.05</v>
      </c>
      <c r="P113" s="106">
        <v>0.05</v>
      </c>
    </row>
    <row r="114" spans="1:16" ht="15" customHeight="1">
      <c r="A114" s="2">
        <v>9</v>
      </c>
      <c r="B114" s="2" t="s">
        <v>400</v>
      </c>
      <c r="C114" s="344">
        <v>24.44</v>
      </c>
      <c r="D114" s="5">
        <v>25.17</v>
      </c>
      <c r="E114" s="5">
        <v>25.93</v>
      </c>
      <c r="F114" s="5">
        <v>26.71</v>
      </c>
      <c r="G114" s="5">
        <v>27.51</v>
      </c>
      <c r="H114" s="5">
        <v>28.34</v>
      </c>
      <c r="I114" s="5">
        <v>29.19</v>
      </c>
      <c r="J114" s="5">
        <v>30.07</v>
      </c>
      <c r="K114" s="5">
        <v>30.97</v>
      </c>
      <c r="L114" s="5">
        <v>31.9</v>
      </c>
      <c r="M114" s="5">
        <v>33.5</v>
      </c>
      <c r="N114" s="5">
        <v>35.18</v>
      </c>
      <c r="O114" s="5">
        <v>36.94</v>
      </c>
      <c r="P114" s="5">
        <v>38.79</v>
      </c>
    </row>
    <row r="115" spans="1:16">
      <c r="D115" s="106">
        <v>0.03</v>
      </c>
      <c r="E115" s="106">
        <v>0.03</v>
      </c>
      <c r="F115" s="106">
        <v>0.03</v>
      </c>
      <c r="G115" s="106">
        <v>0.03</v>
      </c>
      <c r="H115" s="106">
        <v>0.03</v>
      </c>
      <c r="I115" s="106">
        <v>0.03</v>
      </c>
      <c r="J115" s="106">
        <v>0.03</v>
      </c>
      <c r="K115" s="106">
        <v>0.03</v>
      </c>
      <c r="L115" s="106">
        <v>0.03</v>
      </c>
      <c r="M115" s="106">
        <v>0.05</v>
      </c>
      <c r="N115" s="106">
        <v>0.05</v>
      </c>
      <c r="O115" s="106">
        <v>0.05</v>
      </c>
      <c r="P115" s="106">
        <v>0.05</v>
      </c>
    </row>
    <row r="116" spans="1:16">
      <c r="A116" s="553" t="s">
        <v>484</v>
      </c>
      <c r="B116" s="554"/>
      <c r="C116" s="555"/>
      <c r="D116" s="555"/>
      <c r="E116" s="555"/>
      <c r="F116" s="555"/>
      <c r="G116" s="555"/>
      <c r="H116" s="555"/>
      <c r="I116" s="555"/>
      <c r="J116" s="555"/>
      <c r="K116" s="555"/>
      <c r="L116" s="555"/>
      <c r="M116" s="2"/>
      <c r="N116" s="2"/>
    </row>
    <row r="117" spans="1:16" ht="25.5">
      <c r="A117" s="556" t="s">
        <v>485</v>
      </c>
      <c r="J117" s="2"/>
      <c r="K117" s="2"/>
      <c r="L117" s="2"/>
      <c r="M117" s="2"/>
      <c r="N117" s="2"/>
    </row>
    <row r="118" spans="1:16" ht="43.5" customHeight="1" thickBot="1">
      <c r="A118" s="1098" t="s">
        <v>438</v>
      </c>
      <c r="B118" s="1099"/>
      <c r="C118" s="1099"/>
      <c r="D118" s="1099"/>
      <c r="E118" s="1099"/>
      <c r="F118" s="1099"/>
      <c r="G118" s="1099"/>
      <c r="H118" s="1099"/>
      <c r="I118" s="1099"/>
      <c r="J118" s="1099"/>
      <c r="K118" s="1099"/>
      <c r="L118" s="2"/>
      <c r="M118" s="2"/>
      <c r="N118" s="2"/>
    </row>
    <row r="119" spans="1:16">
      <c r="A119" s="555">
        <v>175.89</v>
      </c>
      <c r="B119" s="557">
        <v>44593</v>
      </c>
      <c r="J119" s="2"/>
      <c r="K119" s="2"/>
      <c r="L119" s="2"/>
      <c r="M119" s="2"/>
      <c r="N119" s="2"/>
    </row>
    <row r="120" spans="1:16">
      <c r="A120" s="555">
        <v>178.01900000000001</v>
      </c>
      <c r="B120" s="555" t="s">
        <v>486</v>
      </c>
      <c r="E120" s="558"/>
      <c r="F120" s="558"/>
      <c r="J120" s="2"/>
      <c r="K120" s="2"/>
      <c r="L120" s="2"/>
      <c r="M120" s="2"/>
      <c r="N120" s="2"/>
    </row>
    <row r="121" spans="1:16">
      <c r="A121" s="555">
        <v>179.339</v>
      </c>
      <c r="B121" s="555" t="s">
        <v>487</v>
      </c>
      <c r="E121" s="558"/>
      <c r="F121" s="558"/>
      <c r="J121" s="2"/>
      <c r="K121" s="2"/>
      <c r="L121" s="2"/>
      <c r="M121" s="2"/>
      <c r="N121" s="2"/>
    </row>
    <row r="122" spans="1:16">
      <c r="A122" s="555">
        <v>180.81</v>
      </c>
      <c r="B122" s="555" t="s">
        <v>488</v>
      </c>
      <c r="E122" s="558"/>
      <c r="F122" s="558"/>
      <c r="J122" s="2"/>
      <c r="K122" s="2"/>
      <c r="L122" s="2"/>
      <c r="M122" s="2"/>
      <c r="N122" s="2"/>
    </row>
    <row r="123" spans="1:16">
      <c r="A123" s="555">
        <v>182.79</v>
      </c>
      <c r="B123" s="555" t="s">
        <v>489</v>
      </c>
      <c r="E123" s="558"/>
      <c r="F123" s="558"/>
      <c r="J123" s="2"/>
      <c r="K123" s="2"/>
      <c r="L123" s="2"/>
      <c r="M123" s="2"/>
      <c r="N123" s="2"/>
    </row>
    <row r="124" spans="1:16">
      <c r="A124" s="555">
        <v>183.27699999999999</v>
      </c>
      <c r="B124" s="555" t="s">
        <v>490</v>
      </c>
      <c r="E124" s="558"/>
      <c r="F124" s="558"/>
      <c r="J124" s="2"/>
      <c r="K124" s="2"/>
      <c r="L124" s="2"/>
      <c r="M124" s="2"/>
      <c r="N124" s="2"/>
    </row>
    <row r="125" spans="1:16">
      <c r="A125" s="555">
        <v>183.54300000000001</v>
      </c>
      <c r="B125" s="555" t="s">
        <v>491</v>
      </c>
      <c r="E125" s="558"/>
      <c r="F125" s="558"/>
      <c r="J125" s="2"/>
      <c r="K125" s="2"/>
      <c r="L125" s="2"/>
      <c r="M125" s="2"/>
      <c r="N125" s="2"/>
    </row>
    <row r="126" spans="1:16">
      <c r="A126" s="555">
        <v>184.08799999999999</v>
      </c>
      <c r="B126" s="555" t="s">
        <v>492</v>
      </c>
      <c r="E126" s="558"/>
      <c r="F126" s="558"/>
      <c r="J126" s="2"/>
      <c r="K126" s="2"/>
      <c r="L126" s="2"/>
      <c r="M126" s="2"/>
      <c r="N126" s="2"/>
    </row>
    <row r="127" spans="1:16">
      <c r="A127" s="555">
        <v>185.41</v>
      </c>
      <c r="B127" s="555" t="s">
        <v>150</v>
      </c>
      <c r="E127" s="558"/>
      <c r="F127" s="558"/>
      <c r="J127" s="2"/>
      <c r="K127" s="2"/>
      <c r="L127" s="2"/>
      <c r="M127" s="2"/>
      <c r="N127" s="2"/>
    </row>
    <row r="128" spans="1:16">
      <c r="A128" s="555">
        <v>184.626</v>
      </c>
      <c r="B128" s="555" t="s">
        <v>493</v>
      </c>
      <c r="E128" s="558"/>
      <c r="F128" s="558"/>
      <c r="J128" s="2"/>
      <c r="K128" s="2"/>
      <c r="L128" s="2"/>
      <c r="M128" s="2"/>
      <c r="N128" s="2"/>
    </row>
    <row r="129" spans="1:14" ht="15" customHeight="1">
      <c r="A129" s="555">
        <v>183.68600000000001</v>
      </c>
      <c r="B129" s="555" t="s">
        <v>494</v>
      </c>
      <c r="E129" s="558"/>
      <c r="F129" s="558"/>
      <c r="J129" s="2"/>
      <c r="K129" s="2"/>
      <c r="L129" s="2"/>
      <c r="M129" s="2"/>
      <c r="N129" s="2"/>
    </row>
    <row r="130" spans="1:14" ht="15" customHeight="1">
      <c r="A130" s="555">
        <v>184.71700000000001</v>
      </c>
      <c r="B130" s="557">
        <v>44927</v>
      </c>
      <c r="E130" s="558"/>
      <c r="F130" s="558"/>
      <c r="J130" s="2"/>
      <c r="K130" s="2"/>
      <c r="L130" s="2"/>
      <c r="M130" s="2"/>
      <c r="N130" s="2"/>
    </row>
    <row r="131" spans="1:14" ht="15" customHeight="1">
      <c r="A131" s="645">
        <f>SUM(A130-A119)/A130</f>
        <v>4.7786614117812792E-2</v>
      </c>
      <c r="B131" s="2" t="s">
        <v>495</v>
      </c>
      <c r="J131" s="2"/>
      <c r="K131" s="2"/>
      <c r="L131" s="2"/>
      <c r="M131" s="2"/>
      <c r="N131" s="2"/>
    </row>
    <row r="132" spans="1:14" ht="15" customHeight="1">
      <c r="J132" s="2"/>
      <c r="K132" s="2"/>
      <c r="L132" s="2"/>
      <c r="M132" s="2"/>
      <c r="N132" s="2"/>
    </row>
    <row r="133" spans="1:14">
      <c r="J133" s="2"/>
      <c r="K133" s="2"/>
      <c r="L133" s="2"/>
      <c r="M133" s="2"/>
      <c r="N133" s="2"/>
    </row>
    <row r="134" spans="1:14">
      <c r="J134" s="2"/>
      <c r="K134" s="2"/>
      <c r="L134" s="2"/>
      <c r="M134" s="2"/>
      <c r="N134" s="2"/>
    </row>
    <row r="135" spans="1:14">
      <c r="J135" s="2"/>
      <c r="K135" s="2"/>
      <c r="L135" s="2"/>
      <c r="M135" s="2"/>
      <c r="N135" s="2"/>
    </row>
    <row r="136" spans="1:14">
      <c r="J136" s="2"/>
      <c r="K136" s="2"/>
      <c r="L136" s="2"/>
      <c r="M136" s="2"/>
      <c r="N136" s="2"/>
    </row>
    <row r="137" spans="1:14">
      <c r="A137" s="2" t="s">
        <v>972</v>
      </c>
      <c r="J137" s="2"/>
      <c r="K137" s="2"/>
      <c r="L137" s="2"/>
      <c r="M137" s="2"/>
      <c r="N137" s="2"/>
    </row>
    <row r="138" spans="1:14">
      <c r="A138" s="2" t="s">
        <v>970</v>
      </c>
      <c r="B138" s="106">
        <v>3.6999999999999998E-2</v>
      </c>
      <c r="J138" s="2"/>
      <c r="K138" s="2"/>
      <c r="L138" s="2"/>
      <c r="M138" s="2"/>
      <c r="N138" s="2"/>
    </row>
    <row r="139" spans="1:14">
      <c r="A139" s="2" t="s">
        <v>969</v>
      </c>
      <c r="B139" s="106">
        <v>0.1</v>
      </c>
      <c r="J139" s="2"/>
      <c r="K139" s="2"/>
      <c r="L139" s="2"/>
      <c r="M139" s="2"/>
      <c r="N139" s="2"/>
    </row>
    <row r="140" spans="1:14">
      <c r="A140" s="2" t="s">
        <v>971</v>
      </c>
      <c r="B140" s="106">
        <v>0.26600000000000001</v>
      </c>
      <c r="J140" s="2"/>
      <c r="K140" s="2"/>
      <c r="L140" s="2"/>
      <c r="M140" s="2"/>
      <c r="N140" s="2"/>
    </row>
    <row r="141" spans="1:14">
      <c r="A141" s="2" t="s">
        <v>971</v>
      </c>
      <c r="B141" s="106">
        <v>0.26600000000000001</v>
      </c>
      <c r="J141" s="2"/>
      <c r="K141" s="2"/>
      <c r="L141" s="2"/>
      <c r="M141" s="2"/>
      <c r="N141" s="2"/>
    </row>
    <row r="142" spans="1:14">
      <c r="J142" s="2"/>
      <c r="K142" s="2"/>
      <c r="L142" s="2"/>
      <c r="M142" s="2"/>
      <c r="N142" s="2"/>
    </row>
    <row r="143" spans="1:14">
      <c r="J143" s="2"/>
      <c r="K143" s="2"/>
      <c r="L143" s="2"/>
      <c r="M143" s="2"/>
      <c r="N143" s="2"/>
    </row>
    <row r="144" spans="1:14">
      <c r="J144" s="2"/>
      <c r="K144" s="2"/>
      <c r="L144" s="2"/>
      <c r="M144" s="2"/>
      <c r="N144" s="2"/>
    </row>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994539" s="2" customFormat="1" ht="15" customHeight="1"/>
    <row r="994670" s="2" customFormat="1"/>
  </sheetData>
  <sortState xmlns:xlrd2="http://schemas.microsoft.com/office/spreadsheetml/2017/richdata2" ref="A138:AD155">
    <sortCondition ref="B138:B155"/>
  </sortState>
  <mergeCells count="1">
    <mergeCell ref="A118:K118"/>
  </mergeCells>
  <hyperlinks>
    <hyperlink ref="A117" r:id="rId1" location="ro9xg01cpi.f.2" tooltip="Click to jump to footnotes at bottom of the table" display="https://www.bls.gov/regions/west/data/xg-tables/ro9xg01.htm - ro9xg01cpi.f.2" xr:uid="{00000000-0004-0000-0500-000000000000}"/>
  </hyperlinks>
  <pageMargins left="0.25" right="0.25" top="0.75" bottom="0.75" header="0.3" footer="0.3"/>
  <pageSetup scale="24"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CALENDAR</vt:lpstr>
      <vt:lpstr>AGENDA</vt:lpstr>
      <vt:lpstr>MINUTES 2023</vt:lpstr>
      <vt:lpstr>MESSAGE</vt:lpstr>
      <vt:lpstr>GENERAL FUND</vt:lpstr>
      <vt:lpstr>RESERVE FUND</vt:lpstr>
      <vt:lpstr>SPECIAL FUND</vt:lpstr>
      <vt:lpstr>YE Projections</vt:lpstr>
      <vt:lpstr>Revenue</vt:lpstr>
      <vt:lpstr>Interest</vt:lpstr>
      <vt:lpstr>Tax revenue</vt:lpstr>
      <vt:lpstr>Tax table 4a</vt:lpstr>
      <vt:lpstr>6010-6493</vt:lpstr>
      <vt:lpstr>7010-7180</vt:lpstr>
      <vt:lpstr>Personnel</vt:lpstr>
      <vt:lpstr>'YE Projections'!Print_Titles</vt:lpstr>
    </vt:vector>
  </TitlesOfParts>
  <Company>Fern Ridgge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Leley Steppan</dc:creator>
  <cp:lastModifiedBy>Lesley Steppan</cp:lastModifiedBy>
  <cp:lastPrinted>2024-05-08T17:36:05Z</cp:lastPrinted>
  <dcterms:created xsi:type="dcterms:W3CDTF">2019-04-04T17:50:06Z</dcterms:created>
  <dcterms:modified xsi:type="dcterms:W3CDTF">2024-05-10T18:39:24Z</dcterms:modified>
</cp:coreProperties>
</file>